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240" windowWidth="21840" windowHeight="12120"/>
  </bookViews>
  <sheets>
    <sheet name="с 1 по 4" sheetId="17" r:id="rId1"/>
    <sheet name="68,08" sheetId="20" r:id="rId2"/>
  </sheets>
  <definedNames>
    <definedName name="_xlnm._FilterDatabase" localSheetId="1" hidden="1">'68,08'!$A$1:$AB$232</definedName>
    <definedName name="_xlnm._FilterDatabase" localSheetId="0" hidden="1">'с 1 по 4'!$A$1:$AC$156</definedName>
    <definedName name="_xlnm.Print_Titles" localSheetId="1">'68,08'!$3:$7</definedName>
    <definedName name="_xlnm.Print_Titles" localSheetId="0">'с 1 по 4'!$3:$7</definedName>
  </definedNames>
  <calcPr calcId="144525" fullCalcOnLoad="1" refMode="R1C1"/>
</workbook>
</file>

<file path=xl/calcChain.xml><?xml version="1.0" encoding="utf-8"?>
<calcChain xmlns="http://schemas.openxmlformats.org/spreadsheetml/2006/main">
  <c r="C58" i="20"/>
  <c r="E58"/>
  <c r="F58"/>
  <c r="G58"/>
  <c r="H58"/>
  <c r="D58"/>
  <c r="S58"/>
  <c r="D12"/>
  <c r="G10"/>
  <c r="G57"/>
  <c r="F57"/>
  <c r="E57"/>
  <c r="D57"/>
  <c r="G56"/>
  <c r="F56"/>
  <c r="J56"/>
  <c r="E56"/>
  <c r="D56"/>
  <c r="F54"/>
  <c r="E54"/>
  <c r="D150"/>
  <c r="D148"/>
  <c r="D128"/>
  <c r="D129"/>
  <c r="D112"/>
  <c r="G111"/>
  <c r="K111"/>
  <c r="F111"/>
  <c r="E111"/>
  <c r="D104"/>
  <c r="D99"/>
  <c r="D100"/>
  <c r="D76"/>
  <c r="D68"/>
  <c r="D45"/>
  <c r="D31"/>
  <c r="D36"/>
  <c r="H153"/>
  <c r="D144"/>
  <c r="D146"/>
  <c r="P146"/>
  <c r="D134"/>
  <c r="D117"/>
  <c r="D89"/>
  <c r="D92"/>
  <c r="D83"/>
  <c r="D86"/>
  <c r="D72"/>
  <c r="D60"/>
  <c r="D64"/>
  <c r="D40"/>
  <c r="D43"/>
  <c r="E41"/>
  <c r="F41"/>
  <c r="F43"/>
  <c r="G41"/>
  <c r="G43"/>
  <c r="D26"/>
  <c r="L154"/>
  <c r="K154"/>
  <c r="J154"/>
  <c r="I154"/>
  <c r="R153"/>
  <c r="L153"/>
  <c r="K153"/>
  <c r="J153"/>
  <c r="I153"/>
  <c r="C153"/>
  <c r="G152"/>
  <c r="K152"/>
  <c r="F152"/>
  <c r="J152"/>
  <c r="E152"/>
  <c r="I152"/>
  <c r="L152"/>
  <c r="K151"/>
  <c r="J151"/>
  <c r="I151"/>
  <c r="K149"/>
  <c r="J149"/>
  <c r="I149"/>
  <c r="G148"/>
  <c r="F148"/>
  <c r="E148"/>
  <c r="R146"/>
  <c r="L146"/>
  <c r="K146"/>
  <c r="J146"/>
  <c r="I146"/>
  <c r="H146"/>
  <c r="C146"/>
  <c r="G145"/>
  <c r="G146"/>
  <c r="F145"/>
  <c r="J145"/>
  <c r="E145"/>
  <c r="I145"/>
  <c r="K144"/>
  <c r="J144"/>
  <c r="I144"/>
  <c r="K143"/>
  <c r="J143"/>
  <c r="I143"/>
  <c r="K142"/>
  <c r="I142"/>
  <c r="F142"/>
  <c r="K141"/>
  <c r="J141"/>
  <c r="I141"/>
  <c r="L141"/>
  <c r="L138"/>
  <c r="K138"/>
  <c r="J138"/>
  <c r="I138"/>
  <c r="R137"/>
  <c r="H137"/>
  <c r="C137"/>
  <c r="K136"/>
  <c r="J136"/>
  <c r="I136"/>
  <c r="K135"/>
  <c r="J135"/>
  <c r="I135"/>
  <c r="D135"/>
  <c r="K134"/>
  <c r="F134"/>
  <c r="J134"/>
  <c r="L134"/>
  <c r="E134"/>
  <c r="I134"/>
  <c r="K133"/>
  <c r="F133"/>
  <c r="E133"/>
  <c r="I133"/>
  <c r="D133"/>
  <c r="D137"/>
  <c r="P137"/>
  <c r="G132"/>
  <c r="K132"/>
  <c r="F132"/>
  <c r="J132"/>
  <c r="E132"/>
  <c r="D132"/>
  <c r="L129"/>
  <c r="M129"/>
  <c r="K129"/>
  <c r="J129"/>
  <c r="I129"/>
  <c r="H129"/>
  <c r="H138"/>
  <c r="G129"/>
  <c r="F129"/>
  <c r="E129"/>
  <c r="C129"/>
  <c r="K128"/>
  <c r="J128"/>
  <c r="I128"/>
  <c r="K127"/>
  <c r="L127"/>
  <c r="J127"/>
  <c r="I127"/>
  <c r="Q126"/>
  <c r="P126"/>
  <c r="R126"/>
  <c r="K126"/>
  <c r="J126"/>
  <c r="I126"/>
  <c r="R122"/>
  <c r="L122"/>
  <c r="K122"/>
  <c r="J122"/>
  <c r="I122"/>
  <c r="H122"/>
  <c r="C122"/>
  <c r="G121"/>
  <c r="K121"/>
  <c r="F121"/>
  <c r="J121"/>
  <c r="E121"/>
  <c r="I121"/>
  <c r="K120"/>
  <c r="J120"/>
  <c r="I120"/>
  <c r="D120"/>
  <c r="D122"/>
  <c r="J119"/>
  <c r="I119"/>
  <c r="G119"/>
  <c r="K119"/>
  <c r="L119"/>
  <c r="K118"/>
  <c r="I118"/>
  <c r="F118"/>
  <c r="J118"/>
  <c r="L118"/>
  <c r="D118"/>
  <c r="K117"/>
  <c r="I117"/>
  <c r="F117"/>
  <c r="R115"/>
  <c r="L115"/>
  <c r="K115"/>
  <c r="J115"/>
  <c r="I115"/>
  <c r="C115"/>
  <c r="G114"/>
  <c r="K114"/>
  <c r="F114"/>
  <c r="J114"/>
  <c r="E114"/>
  <c r="I114"/>
  <c r="L114"/>
  <c r="K113"/>
  <c r="J113"/>
  <c r="I113"/>
  <c r="G112"/>
  <c r="K112"/>
  <c r="F112"/>
  <c r="E112"/>
  <c r="I112"/>
  <c r="H115"/>
  <c r="R107"/>
  <c r="P107"/>
  <c r="L107"/>
  <c r="K107"/>
  <c r="J107"/>
  <c r="I107"/>
  <c r="H107"/>
  <c r="C107"/>
  <c r="G106"/>
  <c r="K106"/>
  <c r="F106"/>
  <c r="J106"/>
  <c r="E106"/>
  <c r="E107"/>
  <c r="K105"/>
  <c r="J105"/>
  <c r="I105"/>
  <c r="K104"/>
  <c r="J104"/>
  <c r="I104"/>
  <c r="D107"/>
  <c r="I103"/>
  <c r="K103"/>
  <c r="J103"/>
  <c r="I102"/>
  <c r="G102"/>
  <c r="F102"/>
  <c r="J102"/>
  <c r="R100"/>
  <c r="P100"/>
  <c r="L100"/>
  <c r="K100"/>
  <c r="J100"/>
  <c r="I100"/>
  <c r="H100"/>
  <c r="C100"/>
  <c r="K99"/>
  <c r="L99"/>
  <c r="J99"/>
  <c r="I99"/>
  <c r="K98"/>
  <c r="J98"/>
  <c r="L98"/>
  <c r="I98"/>
  <c r="G97"/>
  <c r="K97"/>
  <c r="F97"/>
  <c r="E97"/>
  <c r="I97"/>
  <c r="J96"/>
  <c r="I96"/>
  <c r="G96"/>
  <c r="K96"/>
  <c r="R92"/>
  <c r="L92"/>
  <c r="K92"/>
  <c r="J92"/>
  <c r="I92"/>
  <c r="C92"/>
  <c r="H91"/>
  <c r="H92"/>
  <c r="K90"/>
  <c r="J90"/>
  <c r="I90"/>
  <c r="K89"/>
  <c r="I89"/>
  <c r="F89"/>
  <c r="J89"/>
  <c r="L89"/>
  <c r="G88"/>
  <c r="K88"/>
  <c r="F88"/>
  <c r="E88"/>
  <c r="I88"/>
  <c r="R86"/>
  <c r="P86"/>
  <c r="L86"/>
  <c r="K86"/>
  <c r="J86"/>
  <c r="I86"/>
  <c r="H86"/>
  <c r="C86"/>
  <c r="P85"/>
  <c r="G85"/>
  <c r="K85"/>
  <c r="F85"/>
  <c r="F86"/>
  <c r="E85"/>
  <c r="I85"/>
  <c r="K84"/>
  <c r="J84"/>
  <c r="I84"/>
  <c r="S83"/>
  <c r="J83"/>
  <c r="G83"/>
  <c r="E83"/>
  <c r="I83"/>
  <c r="R79"/>
  <c r="L79"/>
  <c r="K79"/>
  <c r="J79"/>
  <c r="I79"/>
  <c r="H79"/>
  <c r="C79"/>
  <c r="G78"/>
  <c r="G91"/>
  <c r="F78"/>
  <c r="J78"/>
  <c r="E78"/>
  <c r="K77"/>
  <c r="J77"/>
  <c r="I77"/>
  <c r="L77"/>
  <c r="J76"/>
  <c r="I76"/>
  <c r="G76"/>
  <c r="K76"/>
  <c r="L76"/>
  <c r="K75"/>
  <c r="J75"/>
  <c r="I75"/>
  <c r="G74"/>
  <c r="F74"/>
  <c r="F79"/>
  <c r="J80"/>
  <c r="E74"/>
  <c r="I74"/>
  <c r="D79"/>
  <c r="P79"/>
  <c r="R72"/>
  <c r="L72"/>
  <c r="K72"/>
  <c r="J72"/>
  <c r="I72"/>
  <c r="H72"/>
  <c r="C72"/>
  <c r="G71"/>
  <c r="K71"/>
  <c r="F71"/>
  <c r="J71"/>
  <c r="E71"/>
  <c r="I71"/>
  <c r="L71"/>
  <c r="K70"/>
  <c r="J70"/>
  <c r="I70"/>
  <c r="G69"/>
  <c r="F69"/>
  <c r="J69"/>
  <c r="E69"/>
  <c r="I69"/>
  <c r="K68"/>
  <c r="F68"/>
  <c r="J68"/>
  <c r="L68"/>
  <c r="E68"/>
  <c r="I68"/>
  <c r="L64"/>
  <c r="K64"/>
  <c r="J64"/>
  <c r="I64"/>
  <c r="H64"/>
  <c r="L65"/>
  <c r="C64"/>
  <c r="G63"/>
  <c r="K63"/>
  <c r="F63"/>
  <c r="E63"/>
  <c r="I63"/>
  <c r="R62"/>
  <c r="J62"/>
  <c r="I62"/>
  <c r="G62"/>
  <c r="K61"/>
  <c r="F61"/>
  <c r="J61"/>
  <c r="E61"/>
  <c r="I61"/>
  <c r="R60"/>
  <c r="K60"/>
  <c r="I60"/>
  <c r="F60"/>
  <c r="J60"/>
  <c r="L60"/>
  <c r="AA58"/>
  <c r="Y58"/>
  <c r="V58"/>
  <c r="L58"/>
  <c r="K58"/>
  <c r="J58"/>
  <c r="I58"/>
  <c r="H65"/>
  <c r="Z58"/>
  <c r="X58"/>
  <c r="W56"/>
  <c r="K56"/>
  <c r="I56"/>
  <c r="Q55"/>
  <c r="R55"/>
  <c r="R58"/>
  <c r="K55"/>
  <c r="J55"/>
  <c r="I55"/>
  <c r="W54"/>
  <c r="W58"/>
  <c r="K54"/>
  <c r="R50"/>
  <c r="L50"/>
  <c r="K50"/>
  <c r="J50"/>
  <c r="I50"/>
  <c r="H50"/>
  <c r="C50"/>
  <c r="G49"/>
  <c r="K49"/>
  <c r="F49"/>
  <c r="J49"/>
  <c r="E49"/>
  <c r="D49"/>
  <c r="D50"/>
  <c r="K48"/>
  <c r="J48"/>
  <c r="I48"/>
  <c r="G47"/>
  <c r="K47"/>
  <c r="L47"/>
  <c r="F47"/>
  <c r="F50"/>
  <c r="E47"/>
  <c r="K46"/>
  <c r="J46"/>
  <c r="I46"/>
  <c r="K45"/>
  <c r="J45"/>
  <c r="I45"/>
  <c r="Q43"/>
  <c r="P43"/>
  <c r="L43"/>
  <c r="K43"/>
  <c r="J43"/>
  <c r="I43"/>
  <c r="H43"/>
  <c r="C43"/>
  <c r="K42"/>
  <c r="J42"/>
  <c r="I42"/>
  <c r="R41"/>
  <c r="K40"/>
  <c r="J40"/>
  <c r="I40"/>
  <c r="L37"/>
  <c r="K37"/>
  <c r="J37"/>
  <c r="I37"/>
  <c r="W36"/>
  <c r="V36"/>
  <c r="U36"/>
  <c r="T36"/>
  <c r="S36"/>
  <c r="R36"/>
  <c r="Q36"/>
  <c r="P36"/>
  <c r="H36"/>
  <c r="C36"/>
  <c r="G35"/>
  <c r="K35"/>
  <c r="F35"/>
  <c r="J35"/>
  <c r="E35"/>
  <c r="E36"/>
  <c r="I36"/>
  <c r="K34"/>
  <c r="J34"/>
  <c r="I34"/>
  <c r="K33"/>
  <c r="J33"/>
  <c r="I33"/>
  <c r="K32"/>
  <c r="I32"/>
  <c r="F32"/>
  <c r="J32"/>
  <c r="K31"/>
  <c r="J31"/>
  <c r="L31"/>
  <c r="I31"/>
  <c r="P29"/>
  <c r="L29"/>
  <c r="K29"/>
  <c r="J29"/>
  <c r="I29"/>
  <c r="H29"/>
  <c r="L30"/>
  <c r="C29"/>
  <c r="G28"/>
  <c r="K28"/>
  <c r="F28"/>
  <c r="J28"/>
  <c r="E28"/>
  <c r="I28"/>
  <c r="L28"/>
  <c r="K27"/>
  <c r="J27"/>
  <c r="I27"/>
  <c r="L27"/>
  <c r="R26"/>
  <c r="R29"/>
  <c r="K26"/>
  <c r="J26"/>
  <c r="I26"/>
  <c r="L26"/>
  <c r="G25"/>
  <c r="G29"/>
  <c r="F25"/>
  <c r="E25"/>
  <c r="I25"/>
  <c r="D29"/>
  <c r="S29"/>
  <c r="R21"/>
  <c r="L20"/>
  <c r="K20"/>
  <c r="J20"/>
  <c r="I20"/>
  <c r="H20"/>
  <c r="D20"/>
  <c r="C20"/>
  <c r="G19"/>
  <c r="K19"/>
  <c r="F19"/>
  <c r="E19"/>
  <c r="E20"/>
  <c r="E21"/>
  <c r="K18"/>
  <c r="J18"/>
  <c r="I18"/>
  <c r="L18"/>
  <c r="K17"/>
  <c r="J17"/>
  <c r="L17"/>
  <c r="I17"/>
  <c r="K16"/>
  <c r="J16"/>
  <c r="I16"/>
  <c r="L16"/>
  <c r="S15"/>
  <c r="S16"/>
  <c r="S17"/>
  <c r="K15"/>
  <c r="J15"/>
  <c r="I15"/>
  <c r="L13"/>
  <c r="K13"/>
  <c r="J13"/>
  <c r="I13"/>
  <c r="H13"/>
  <c r="F13"/>
  <c r="J14"/>
  <c r="E13"/>
  <c r="C13"/>
  <c r="R11"/>
  <c r="K11"/>
  <c r="J11"/>
  <c r="I11"/>
  <c r="L11"/>
  <c r="Q10"/>
  <c r="P10"/>
  <c r="K10"/>
  <c r="J10"/>
  <c r="I10"/>
  <c r="G13"/>
  <c r="K14"/>
  <c r="J88"/>
  <c r="J111"/>
  <c r="E86"/>
  <c r="I132"/>
  <c r="K41"/>
  <c r="I111"/>
  <c r="K145"/>
  <c r="E64"/>
  <c r="I148"/>
  <c r="K62"/>
  <c r="K148"/>
  <c r="G153"/>
  <c r="I47"/>
  <c r="G36"/>
  <c r="K36"/>
  <c r="D13"/>
  <c r="P13"/>
  <c r="G137"/>
  <c r="K137"/>
  <c r="D153"/>
  <c r="Q58"/>
  <c r="D115"/>
  <c r="F115"/>
  <c r="K130"/>
  <c r="P122"/>
  <c r="H51"/>
  <c r="I106"/>
  <c r="H123"/>
  <c r="G122"/>
  <c r="K123"/>
  <c r="E100"/>
  <c r="E108"/>
  <c r="K25"/>
  <c r="G64"/>
  <c r="K65"/>
  <c r="I65"/>
  <c r="H108"/>
  <c r="L104"/>
  <c r="J74"/>
  <c r="E72"/>
  <c r="I73"/>
  <c r="F107"/>
  <c r="K78"/>
  <c r="G20"/>
  <c r="R43"/>
  <c r="R64"/>
  <c r="J47"/>
  <c r="G100"/>
  <c r="L40"/>
  <c r="G115"/>
  <c r="G123"/>
  <c r="L126"/>
  <c r="L136"/>
  <c r="E153"/>
  <c r="E146"/>
  <c r="I147"/>
  <c r="J142"/>
  <c r="J63"/>
  <c r="H80"/>
  <c r="L84"/>
  <c r="J112"/>
  <c r="J41"/>
  <c r="R10"/>
  <c r="R13"/>
  <c r="L46"/>
  <c r="Q153"/>
  <c r="P115"/>
  <c r="Q100"/>
  <c r="E29"/>
  <c r="E115"/>
  <c r="I116"/>
  <c r="L151"/>
  <c r="L96"/>
  <c r="E122"/>
  <c r="I123"/>
  <c r="F36"/>
  <c r="J36"/>
  <c r="L70"/>
  <c r="F91"/>
  <c r="P50"/>
  <c r="K139"/>
  <c r="J130"/>
  <c r="L90"/>
  <c r="L105"/>
  <c r="L128"/>
  <c r="G138"/>
  <c r="L15"/>
  <c r="H93"/>
  <c r="F72"/>
  <c r="F80"/>
  <c r="L120"/>
  <c r="L121"/>
  <c r="H37"/>
  <c r="E137"/>
  <c r="K116"/>
  <c r="F92"/>
  <c r="J91"/>
  <c r="I30"/>
  <c r="I137"/>
  <c r="I139"/>
  <c r="F93"/>
  <c r="J51"/>
  <c r="F51"/>
  <c r="J73"/>
  <c r="E123"/>
  <c r="G37"/>
  <c r="I14"/>
  <c r="G21"/>
  <c r="L106"/>
  <c r="I19"/>
  <c r="L45"/>
  <c r="L48"/>
  <c r="L75"/>
  <c r="J85"/>
  <c r="L85"/>
  <c r="K101"/>
  <c r="I130"/>
  <c r="L149"/>
  <c r="K30"/>
  <c r="L32"/>
  <c r="L33"/>
  <c r="L42"/>
  <c r="J93"/>
  <c r="L113"/>
  <c r="E37"/>
  <c r="E154"/>
  <c r="I35"/>
  <c r="L35"/>
  <c r="L111"/>
  <c r="L34"/>
  <c r="L55"/>
  <c r="L61"/>
  <c r="L62"/>
  <c r="L103"/>
  <c r="Q107"/>
  <c r="L135"/>
  <c r="F146"/>
  <c r="L143"/>
  <c r="L144"/>
  <c r="L63"/>
  <c r="G154"/>
  <c r="L132"/>
  <c r="L145"/>
  <c r="J19"/>
  <c r="F20"/>
  <c r="F21"/>
  <c r="E91"/>
  <c r="I78"/>
  <c r="L78"/>
  <c r="E79"/>
  <c r="E80"/>
  <c r="K102"/>
  <c r="L102"/>
  <c r="G107"/>
  <c r="G108"/>
  <c r="J133"/>
  <c r="L133"/>
  <c r="F137"/>
  <c r="I54"/>
  <c r="E65"/>
  <c r="I49"/>
  <c r="L49"/>
  <c r="E50"/>
  <c r="I51"/>
  <c r="K74"/>
  <c r="L74"/>
  <c r="G79"/>
  <c r="K80"/>
  <c r="J97"/>
  <c r="L97"/>
  <c r="F100"/>
  <c r="J117"/>
  <c r="L117"/>
  <c r="F122"/>
  <c r="J123"/>
  <c r="L142"/>
  <c r="J116"/>
  <c r="H21"/>
  <c r="H155"/>
  <c r="H156"/>
  <c r="L14"/>
  <c r="L19"/>
  <c r="J25"/>
  <c r="L25"/>
  <c r="F29"/>
  <c r="I59"/>
  <c r="F64"/>
  <c r="J65"/>
  <c r="K69"/>
  <c r="L69"/>
  <c r="G72"/>
  <c r="G80"/>
  <c r="G86"/>
  <c r="K83"/>
  <c r="L83"/>
  <c r="E138"/>
  <c r="F153"/>
  <c r="J148"/>
  <c r="L148"/>
  <c r="L36"/>
  <c r="G50"/>
  <c r="K91"/>
  <c r="G92"/>
  <c r="K93"/>
  <c r="I80"/>
  <c r="L88"/>
  <c r="L112"/>
  <c r="H154"/>
  <c r="I41"/>
  <c r="L41"/>
  <c r="E43"/>
  <c r="E51"/>
  <c r="F65"/>
  <c r="L10"/>
  <c r="L56"/>
  <c r="G65"/>
  <c r="K59"/>
  <c r="J54"/>
  <c r="L54"/>
  <c r="F154"/>
  <c r="J59"/>
  <c r="G93"/>
  <c r="F138"/>
  <c r="J137"/>
  <c r="L137"/>
  <c r="J139"/>
  <c r="F37"/>
  <c r="J30"/>
  <c r="F123"/>
  <c r="K51"/>
  <c r="G51"/>
  <c r="G155"/>
  <c r="G156"/>
  <c r="F108"/>
  <c r="F155"/>
  <c r="F156"/>
  <c r="J101"/>
  <c r="I91"/>
  <c r="L91"/>
  <c r="E92"/>
  <c r="E93"/>
  <c r="E155"/>
  <c r="E156"/>
  <c r="I93"/>
</calcChain>
</file>

<file path=xl/sharedStrings.xml><?xml version="1.0" encoding="utf-8"?>
<sst xmlns="http://schemas.openxmlformats.org/spreadsheetml/2006/main" count="377" uniqueCount="87">
  <si>
    <t>Хлеб пшеничный</t>
  </si>
  <si>
    <t>Напиток из шиповника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</si>
  <si>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</si>
  <si>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</si>
  <si>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</si>
  <si>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</si>
  <si>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</si>
  <si>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</si>
  <si>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</si>
  <si>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</si>
  <si>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</si>
  <si>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</si>
  <si>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 xml:space="preserve">Завтрак </t>
  </si>
  <si>
    <t xml:space="preserve">   Наименование бдюда</t>
  </si>
  <si>
    <t>№ рецептур</t>
  </si>
  <si>
    <t>неделя: 1               день1: понедельник</t>
  </si>
  <si>
    <t>неделя: 1               день2: вторник</t>
  </si>
  <si>
    <t>неделя: 1               день3: среда</t>
  </si>
  <si>
    <t>неделя: 1               день4: четверг</t>
  </si>
  <si>
    <t>неделя: 1               день5: пятница</t>
  </si>
  <si>
    <t>Рожки отварные</t>
  </si>
  <si>
    <t>Каша гречневая рассыпчатая</t>
  </si>
  <si>
    <t>Итого</t>
  </si>
  <si>
    <t>Сыр порционно</t>
  </si>
  <si>
    <t>Овощи порционно</t>
  </si>
  <si>
    <t>Рис отварной</t>
  </si>
  <si>
    <t>Омлет натуральный</t>
  </si>
  <si>
    <t>Картофельное пюре</t>
  </si>
  <si>
    <t xml:space="preserve">Компот плодово-ягодный </t>
  </si>
  <si>
    <t>Компот из с/м ягод</t>
  </si>
  <si>
    <t>Чай с сахаром</t>
  </si>
  <si>
    <t>Цена</t>
  </si>
  <si>
    <t xml:space="preserve">Щи из св.капусты с картофелем </t>
  </si>
  <si>
    <t>Напиток из сока плодово-ягодного</t>
  </si>
  <si>
    <t>Компот из сухофруктов</t>
  </si>
  <si>
    <t>Рассольник "Ленинградский"</t>
  </si>
  <si>
    <t>Котлета мясная  с соусом</t>
  </si>
  <si>
    <t>Суп  лапша куриная</t>
  </si>
  <si>
    <t>Кофейный напиток на молоке</t>
  </si>
  <si>
    <t>Фрукт</t>
  </si>
  <si>
    <t>Макароны отварные</t>
  </si>
  <si>
    <t>Тефтели  с соусом 60/30</t>
  </si>
  <si>
    <t>пр</t>
  </si>
  <si>
    <t>1.5</t>
  </si>
  <si>
    <t>1.6</t>
  </si>
  <si>
    <t>183</t>
  </si>
  <si>
    <t>1.4</t>
  </si>
  <si>
    <t>7.10</t>
  </si>
  <si>
    <t xml:space="preserve">Борщ с капустой , картофелем </t>
  </si>
  <si>
    <t>Щи из св.капусты с картофелем</t>
  </si>
  <si>
    <t>Фрикадельки мясные "деревенские" в соусе  60/30</t>
  </si>
  <si>
    <t xml:space="preserve">Котлеты куриные в соусе </t>
  </si>
  <si>
    <t>Тефтели  с соусом 60/40</t>
  </si>
  <si>
    <t>Итого за  10 дней:</t>
  </si>
  <si>
    <t xml:space="preserve">         Итого в среднем за день :</t>
  </si>
  <si>
    <t>неделя: 2               день7: вторник</t>
  </si>
  <si>
    <t>неделя: 2               день8: среда</t>
  </si>
  <si>
    <t>неделя: 2               день9: четверг</t>
  </si>
  <si>
    <t>неделя: 2               день 10: пятница</t>
  </si>
  <si>
    <t>Батон</t>
  </si>
  <si>
    <t xml:space="preserve">Напиток лимонный </t>
  </si>
  <si>
    <t>Чай с сахаром и лимоном</t>
  </si>
  <si>
    <t>Плов с мясом</t>
  </si>
  <si>
    <t>Картофель тушеный</t>
  </si>
  <si>
    <t>Напиток из св.м ягод</t>
  </si>
  <si>
    <t>Каша молочная Дружба</t>
  </si>
  <si>
    <t>Суп картофельный с бобовыми и гренками 200/20</t>
  </si>
  <si>
    <t>Рагу из овощей</t>
  </si>
  <si>
    <t>Меню приготавливаемых блюд  для детей с 1 по 4 класс</t>
  </si>
  <si>
    <t>Блинчики со сгущенкой или ягодным соусом  130/40</t>
  </si>
  <si>
    <t>Суп картофельный с рыбой</t>
  </si>
  <si>
    <t>Бутерброт с сыром 30/20</t>
  </si>
  <si>
    <t>Каша молочная рисовая</t>
  </si>
  <si>
    <t>Пельмени с маслом и зеленью/ Блины с ягодным соусом</t>
  </si>
  <si>
    <t xml:space="preserve">Жаркое по- домашнему с мясом </t>
  </si>
  <si>
    <t>Гуляш из мяса  45/45</t>
  </si>
  <si>
    <t>Бутерброт с ветчиной 30/20</t>
  </si>
  <si>
    <t>Сырники с молочным соусом  (100/30)</t>
  </si>
  <si>
    <t>Чай  фруктовый</t>
  </si>
  <si>
    <t>Суп картофельный с бобовыми и гренками 180/20</t>
  </si>
  <si>
    <t>Гуляш из мяса  40/40</t>
  </si>
  <si>
    <t>Гуляш из мяса  30/40</t>
  </si>
  <si>
    <t>неделя: 2               день6: понедельник</t>
  </si>
  <si>
    <t>неделя: 2              день6: понедельник</t>
  </si>
  <si>
    <t>Меню приготавливаемых блюд  для детей с 5 по 11 класс</t>
  </si>
  <si>
    <t>Курица порционно</t>
  </si>
  <si>
    <t xml:space="preserve"> </t>
  </si>
</sst>
</file>

<file path=xl/styles.xml><?xml version="1.0" encoding="utf-8"?>
<styleSheet xmlns="http://schemas.openxmlformats.org/spreadsheetml/2006/main">
  <numFmts count="1">
    <numFmt numFmtId="172" formatCode="0.0"/>
  </numFmts>
  <fonts count="13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8" fillId="0" borderId="0" xfId="0" applyFont="1" applyFill="1"/>
    <xf numFmtId="0" fontId="9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4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3" fillId="0" borderId="3" xfId="0" applyNumberFormat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 wrapText="1"/>
    </xf>
    <xf numFmtId="2" fontId="3" fillId="0" borderId="5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/>
    <xf numFmtId="1" fontId="3" fillId="0" borderId="1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/>
    <xf numFmtId="172" fontId="3" fillId="0" borderId="1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 vertical="top" wrapText="1"/>
    </xf>
    <xf numFmtId="172" fontId="6" fillId="0" borderId="1" xfId="0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right" vertical="top" wrapText="1"/>
    </xf>
    <xf numFmtId="10" fontId="2" fillId="0" borderId="0" xfId="0" applyNumberFormat="1" applyFont="1" applyFill="1"/>
    <xf numFmtId="0" fontId="3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2" fontId="3" fillId="0" borderId="1" xfId="0" applyNumberFormat="1" applyFont="1" applyFill="1" applyBorder="1" applyAlignment="1">
      <alignment horizontal="right" vertical="top" wrapText="1"/>
    </xf>
    <xf numFmtId="2" fontId="8" fillId="0" borderId="0" xfId="0" applyNumberFormat="1" applyFont="1" applyFill="1"/>
    <xf numFmtId="2" fontId="2" fillId="0" borderId="0" xfId="0" applyNumberFormat="1" applyFont="1" applyFill="1"/>
    <xf numFmtId="172" fontId="2" fillId="0" borderId="0" xfId="0" applyNumberFormat="1" applyFont="1" applyFill="1"/>
    <xf numFmtId="0" fontId="4" fillId="0" borderId="0" xfId="0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/>
    <xf numFmtId="2" fontId="4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Border="1"/>
    <xf numFmtId="172" fontId="3" fillId="0" borderId="0" xfId="0" applyNumberFormat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/>
    <xf numFmtId="1" fontId="3" fillId="0" borderId="0" xfId="0" applyNumberFormat="1" applyFont="1" applyFill="1" applyBorder="1" applyAlignment="1">
      <alignment horizontal="right" vertical="top" wrapText="1"/>
    </xf>
    <xf numFmtId="172" fontId="6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 vertical="top" wrapText="1"/>
    </xf>
    <xf numFmtId="0" fontId="12" fillId="0" borderId="0" xfId="0" applyFont="1" applyFill="1" applyAlignment="1"/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56"/>
  <sheetViews>
    <sheetView tabSelected="1" workbookViewId="0">
      <pane xSplit="2" ySplit="8" topLeftCell="C120" activePane="bottomRight" state="frozen"/>
      <selection activeCell="N137" sqref="N137"/>
      <selection pane="topRight" activeCell="N137" sqref="N137"/>
      <selection pane="bottomLeft" activeCell="N137" sqref="N137"/>
      <selection pane="bottomRight" activeCell="AD121" sqref="AD121"/>
    </sheetView>
  </sheetViews>
  <sheetFormatPr defaultRowHeight="15"/>
  <cols>
    <col min="1" max="1" width="10" style="44" customWidth="1"/>
    <col min="2" max="2" width="57" style="11" customWidth="1"/>
    <col min="3" max="3" width="9.5703125" style="56" customWidth="1"/>
    <col min="4" max="4" width="9.5703125" style="41" customWidth="1"/>
    <col min="5" max="5" width="10.28515625" style="11" customWidth="1"/>
    <col min="6" max="7" width="10.7109375" style="11" customWidth="1"/>
    <col min="8" max="8" width="11.85546875" style="11" customWidth="1"/>
    <col min="9" max="15" width="11.85546875" style="11" hidden="1" customWidth="1"/>
    <col min="16" max="18" width="9.140625" style="11" hidden="1" customWidth="1"/>
    <col min="19" max="19" width="10.28515625" style="11" hidden="1" customWidth="1"/>
    <col min="20" max="29" width="9.140625" style="11" hidden="1" customWidth="1"/>
    <col min="30" max="16384" width="9.140625" style="11"/>
  </cols>
  <sheetData>
    <row r="1" spans="1:19" ht="15" customHeight="1">
      <c r="B1" s="127" t="s">
        <v>68</v>
      </c>
      <c r="C1" s="127"/>
      <c r="D1" s="127"/>
      <c r="E1" s="127"/>
      <c r="F1" s="127"/>
      <c r="G1" s="127"/>
      <c r="H1" s="43"/>
      <c r="I1" s="43"/>
      <c r="J1" s="43"/>
      <c r="K1" s="43"/>
      <c r="L1" s="43"/>
      <c r="M1" s="43"/>
      <c r="N1" s="43"/>
      <c r="O1" s="43"/>
    </row>
    <row r="2" spans="1:19">
      <c r="B2" s="128"/>
      <c r="C2" s="128"/>
      <c r="D2" s="128"/>
      <c r="E2" s="128"/>
      <c r="F2" s="128"/>
      <c r="G2" s="128"/>
    </row>
    <row r="3" spans="1:19" ht="15.75" customHeight="1">
      <c r="A3" s="129" t="s">
        <v>14</v>
      </c>
      <c r="B3" s="132" t="s">
        <v>13</v>
      </c>
      <c r="C3" s="135" t="s">
        <v>6</v>
      </c>
      <c r="D3" s="138" t="s">
        <v>31</v>
      </c>
      <c r="E3" s="118" t="s">
        <v>7</v>
      </c>
      <c r="F3" s="118"/>
      <c r="G3" s="122"/>
      <c r="H3" s="119" t="s">
        <v>8</v>
      </c>
      <c r="I3" s="91"/>
      <c r="J3" s="91"/>
      <c r="K3" s="91"/>
      <c r="L3" s="91"/>
      <c r="M3" s="91"/>
      <c r="N3" s="91"/>
      <c r="O3" s="91"/>
    </row>
    <row r="4" spans="1:19" ht="15.75" customHeight="1">
      <c r="A4" s="130"/>
      <c r="B4" s="133"/>
      <c r="C4" s="136"/>
      <c r="D4" s="138"/>
      <c r="E4" s="113"/>
      <c r="F4" s="113"/>
      <c r="G4" s="123"/>
      <c r="H4" s="120"/>
      <c r="I4" s="91"/>
      <c r="J4" s="91"/>
      <c r="K4" s="91"/>
      <c r="L4" s="91"/>
      <c r="M4" s="91"/>
      <c r="N4" s="91"/>
      <c r="O4" s="91"/>
    </row>
    <row r="5" spans="1:19" ht="15" customHeight="1">
      <c r="A5" s="130"/>
      <c r="B5" s="133"/>
      <c r="C5" s="136"/>
      <c r="D5" s="138"/>
      <c r="E5" s="124" t="s">
        <v>2</v>
      </c>
      <c r="F5" s="132" t="s">
        <v>3</v>
      </c>
      <c r="G5" s="132" t="s">
        <v>4</v>
      </c>
      <c r="H5" s="120"/>
      <c r="I5" s="91"/>
      <c r="J5" s="91"/>
      <c r="K5" s="91"/>
      <c r="L5" s="91"/>
      <c r="M5" s="91"/>
      <c r="N5" s="91"/>
      <c r="O5" s="91"/>
    </row>
    <row r="6" spans="1:19" ht="15" customHeight="1">
      <c r="A6" s="130"/>
      <c r="B6" s="133"/>
      <c r="C6" s="136"/>
      <c r="D6" s="138"/>
      <c r="E6" s="125"/>
      <c r="F6" s="133"/>
      <c r="G6" s="133"/>
      <c r="H6" s="120"/>
      <c r="I6" s="91"/>
      <c r="J6" s="91"/>
      <c r="K6" s="91"/>
      <c r="L6" s="91"/>
      <c r="M6" s="91"/>
      <c r="N6" s="91"/>
      <c r="O6" s="91"/>
    </row>
    <row r="7" spans="1:19" ht="33" customHeight="1">
      <c r="A7" s="131"/>
      <c r="B7" s="134"/>
      <c r="C7" s="137"/>
      <c r="D7" s="138"/>
      <c r="E7" s="126"/>
      <c r="F7" s="134"/>
      <c r="G7" s="134"/>
      <c r="H7" s="121"/>
      <c r="I7" s="91"/>
      <c r="J7" s="91"/>
      <c r="K7" s="91"/>
      <c r="L7" s="91"/>
      <c r="M7" s="91"/>
      <c r="N7" s="91"/>
      <c r="O7" s="91"/>
    </row>
    <row r="8" spans="1:19" ht="18.75" customHeight="1">
      <c r="A8" s="111" t="s">
        <v>15</v>
      </c>
      <c r="B8" s="112"/>
      <c r="C8" s="35"/>
      <c r="D8" s="34"/>
      <c r="E8" s="34"/>
      <c r="F8" s="34"/>
      <c r="G8" s="34"/>
      <c r="H8" s="34"/>
      <c r="I8" s="18"/>
      <c r="J8" s="18"/>
      <c r="K8" s="18"/>
      <c r="L8" s="18"/>
      <c r="M8" s="18"/>
      <c r="N8" s="18"/>
      <c r="O8" s="18"/>
    </row>
    <row r="9" spans="1:19" ht="18" customHeight="1">
      <c r="A9" s="111" t="s">
        <v>10</v>
      </c>
      <c r="B9" s="112"/>
      <c r="C9" s="35"/>
      <c r="D9" s="40"/>
      <c r="E9" s="12"/>
      <c r="F9" s="12"/>
      <c r="G9" s="12"/>
      <c r="H9" s="12"/>
      <c r="I9" s="83"/>
      <c r="J9" s="83"/>
      <c r="K9" s="83"/>
      <c r="L9" s="83"/>
      <c r="M9" s="83"/>
      <c r="N9" s="83"/>
      <c r="O9" s="83"/>
    </row>
    <row r="10" spans="1:19" ht="18" customHeight="1">
      <c r="A10" s="46">
        <v>258</v>
      </c>
      <c r="B10" s="4" t="s">
        <v>69</v>
      </c>
      <c r="C10" s="52">
        <v>170</v>
      </c>
      <c r="D10" s="42">
        <v>46.04</v>
      </c>
      <c r="E10" s="17">
        <v>11.75</v>
      </c>
      <c r="F10" s="17">
        <v>15.3</v>
      </c>
      <c r="G10" s="17">
        <v>42.16</v>
      </c>
      <c r="H10" s="17">
        <v>353.34</v>
      </c>
      <c r="I10" s="92">
        <v>47</v>
      </c>
      <c r="J10" s="92">
        <v>137.70000000000002</v>
      </c>
      <c r="K10" s="92">
        <v>168.64</v>
      </c>
      <c r="L10" s="92">
        <v>353.34000000000003</v>
      </c>
      <c r="M10" s="92"/>
      <c r="N10" s="92"/>
      <c r="O10" s="92"/>
      <c r="P10" s="11">
        <v>18.330000000000002</v>
      </c>
      <c r="Q10" s="11">
        <v>5.2758000000000003</v>
      </c>
      <c r="R10" s="11">
        <v>23.605800000000002</v>
      </c>
    </row>
    <row r="11" spans="1:19" ht="18" customHeight="1">
      <c r="A11" s="46">
        <v>300</v>
      </c>
      <c r="B11" s="26" t="s">
        <v>30</v>
      </c>
      <c r="C11" s="52">
        <v>200</v>
      </c>
      <c r="D11" s="21">
        <v>2.5</v>
      </c>
      <c r="E11" s="4">
        <v>0.1</v>
      </c>
      <c r="F11" s="4">
        <v>0</v>
      </c>
      <c r="G11" s="4">
        <v>20.2</v>
      </c>
      <c r="H11" s="4">
        <v>81.2</v>
      </c>
      <c r="I11" s="92">
        <v>0.4</v>
      </c>
      <c r="J11" s="92">
        <v>0</v>
      </c>
      <c r="K11" s="92">
        <v>80.8</v>
      </c>
      <c r="L11" s="92">
        <v>81.2</v>
      </c>
      <c r="M11" s="84"/>
      <c r="N11" s="84"/>
      <c r="O11" s="84"/>
      <c r="P11" s="11">
        <v>0.56000000000000005</v>
      </c>
      <c r="Q11" s="11">
        <v>1.62</v>
      </c>
      <c r="R11" s="11">
        <v>2.1800000000000002</v>
      </c>
    </row>
    <row r="12" spans="1:19" ht="18" customHeight="1">
      <c r="A12" s="46" t="s">
        <v>42</v>
      </c>
      <c r="B12" s="14" t="s">
        <v>39</v>
      </c>
      <c r="C12" s="31">
        <v>130</v>
      </c>
      <c r="D12" s="42">
        <v>23</v>
      </c>
      <c r="E12" s="17">
        <v>1.8225000000000005</v>
      </c>
      <c r="F12" s="17">
        <v>0.40500000000000003</v>
      </c>
      <c r="G12" s="17">
        <v>4.6425000000000001</v>
      </c>
      <c r="H12" s="17">
        <v>29.51</v>
      </c>
      <c r="I12" s="92"/>
      <c r="J12" s="92"/>
      <c r="K12" s="92"/>
      <c r="L12" s="92"/>
      <c r="M12" s="84"/>
      <c r="N12" s="84"/>
      <c r="O12" s="84"/>
    </row>
    <row r="13" spans="1:19" s="7" customFormat="1" ht="18" customHeight="1">
      <c r="A13" s="48"/>
      <c r="B13" s="9" t="s">
        <v>22</v>
      </c>
      <c r="C13" s="51">
        <v>500</v>
      </c>
      <c r="D13" s="36">
        <v>71.539999999999992</v>
      </c>
      <c r="E13" s="36">
        <v>13.672499999999999</v>
      </c>
      <c r="F13" s="36">
        <v>15.705</v>
      </c>
      <c r="G13" s="36">
        <v>67.002499999999998</v>
      </c>
      <c r="H13" s="36">
        <v>464.04999999999995</v>
      </c>
      <c r="I13" s="37">
        <v>15.4</v>
      </c>
      <c r="J13" s="37">
        <v>15.8</v>
      </c>
      <c r="K13" s="37">
        <v>67</v>
      </c>
      <c r="L13" s="37">
        <v>470</v>
      </c>
      <c r="M13" s="37"/>
      <c r="N13" s="37"/>
      <c r="O13" s="37"/>
      <c r="P13" s="88">
        <v>0</v>
      </c>
      <c r="R13" s="7">
        <v>25.785800000000002</v>
      </c>
    </row>
    <row r="14" spans="1:19" ht="18" customHeight="1">
      <c r="A14" s="111" t="s">
        <v>11</v>
      </c>
      <c r="B14" s="112"/>
      <c r="C14" s="55"/>
      <c r="D14" s="37"/>
      <c r="E14" s="18"/>
      <c r="F14" s="18"/>
      <c r="G14" s="18"/>
      <c r="H14" s="18"/>
      <c r="I14" s="97">
        <v>0.30499999999999972</v>
      </c>
      <c r="J14" s="97">
        <v>-9.5000000000000639E-2</v>
      </c>
      <c r="K14" s="97">
        <v>2.4999999999977263E-3</v>
      </c>
      <c r="L14" s="97">
        <v>-5.9500000000000455</v>
      </c>
      <c r="M14" s="18"/>
      <c r="N14" s="18"/>
      <c r="O14" s="18"/>
    </row>
    <row r="15" spans="1:19" ht="18" customHeight="1">
      <c r="A15" s="46">
        <v>56</v>
      </c>
      <c r="B15" s="20" t="s">
        <v>35</v>
      </c>
      <c r="C15" s="57">
        <v>230</v>
      </c>
      <c r="D15" s="21">
        <v>16</v>
      </c>
      <c r="E15" s="27">
        <v>2.4</v>
      </c>
      <c r="F15" s="27">
        <v>8</v>
      </c>
      <c r="G15" s="27">
        <v>30.7</v>
      </c>
      <c r="H15" s="27">
        <v>204.4</v>
      </c>
      <c r="I15" s="92">
        <v>9.6</v>
      </c>
      <c r="J15" s="92">
        <v>72</v>
      </c>
      <c r="K15" s="92">
        <v>122.8</v>
      </c>
      <c r="L15" s="92">
        <v>204.39999999999998</v>
      </c>
      <c r="M15" s="93"/>
      <c r="N15" s="93"/>
      <c r="O15" s="93"/>
      <c r="R15" s="11">
        <v>8.6999999999999993</v>
      </c>
      <c r="S15" s="11">
        <v>72.72727272727272</v>
      </c>
    </row>
    <row r="16" spans="1:19" ht="18" customHeight="1">
      <c r="A16" s="46">
        <v>99</v>
      </c>
      <c r="B16" s="26" t="s">
        <v>36</v>
      </c>
      <c r="C16" s="58">
        <v>90</v>
      </c>
      <c r="D16" s="21">
        <v>32</v>
      </c>
      <c r="E16" s="14">
        <v>8</v>
      </c>
      <c r="F16" s="14">
        <v>8.1999999999999993</v>
      </c>
      <c r="G16" s="14">
        <v>10.6</v>
      </c>
      <c r="H16" s="15">
        <v>148.19999999999999</v>
      </c>
      <c r="I16" s="92">
        <v>32</v>
      </c>
      <c r="J16" s="92">
        <v>73.8</v>
      </c>
      <c r="K16" s="92">
        <v>42.4</v>
      </c>
      <c r="L16" s="92">
        <v>148.19999999999999</v>
      </c>
      <c r="M16" s="94"/>
      <c r="N16" s="94"/>
      <c r="O16" s="94"/>
      <c r="R16" s="11">
        <v>12.6</v>
      </c>
      <c r="S16" s="11">
        <v>36.36363636363636</v>
      </c>
    </row>
    <row r="17" spans="1:19" ht="18" customHeight="1">
      <c r="A17" s="49" t="s">
        <v>45</v>
      </c>
      <c r="B17" s="1" t="s">
        <v>21</v>
      </c>
      <c r="C17" s="58">
        <v>150</v>
      </c>
      <c r="D17" s="21">
        <v>12</v>
      </c>
      <c r="E17" s="14">
        <v>10.6</v>
      </c>
      <c r="F17" s="14">
        <v>6.8</v>
      </c>
      <c r="G17" s="14">
        <v>25.3</v>
      </c>
      <c r="H17" s="15">
        <v>204.8</v>
      </c>
      <c r="I17" s="92">
        <v>42.4</v>
      </c>
      <c r="J17" s="92">
        <v>61.199999999999996</v>
      </c>
      <c r="K17" s="92">
        <v>101.2</v>
      </c>
      <c r="L17" s="92">
        <v>204.8</v>
      </c>
      <c r="M17" s="94"/>
      <c r="N17" s="94"/>
      <c r="O17" s="94"/>
      <c r="R17" s="11">
        <v>5.25</v>
      </c>
      <c r="S17" s="82">
        <v>0.96735000000000038</v>
      </c>
    </row>
    <row r="18" spans="1:19" ht="18" customHeight="1">
      <c r="A18" s="46">
        <v>310</v>
      </c>
      <c r="B18" s="4" t="s">
        <v>34</v>
      </c>
      <c r="C18" s="57">
        <v>200</v>
      </c>
      <c r="D18" s="21">
        <v>8</v>
      </c>
      <c r="E18" s="22">
        <v>0.5</v>
      </c>
      <c r="F18" s="22">
        <v>0.1</v>
      </c>
      <c r="G18" s="22">
        <v>23.9</v>
      </c>
      <c r="H18" s="22">
        <v>98.5</v>
      </c>
      <c r="I18" s="92">
        <v>2</v>
      </c>
      <c r="J18" s="92">
        <v>0.9</v>
      </c>
      <c r="K18" s="92">
        <v>95.6</v>
      </c>
      <c r="L18" s="92">
        <v>98.5</v>
      </c>
      <c r="M18" s="95"/>
      <c r="N18" s="95"/>
      <c r="O18" s="95"/>
      <c r="R18" s="11">
        <v>3</v>
      </c>
    </row>
    <row r="19" spans="1:19" s="8" customFormat="1" ht="18" customHeight="1">
      <c r="A19" s="49" t="s">
        <v>44</v>
      </c>
      <c r="B19" s="4" t="s">
        <v>5</v>
      </c>
      <c r="C19" s="52">
        <v>30</v>
      </c>
      <c r="D19" s="21">
        <v>3.54</v>
      </c>
      <c r="E19" s="2">
        <v>1.98</v>
      </c>
      <c r="F19" s="53">
        <v>0.36</v>
      </c>
      <c r="G19" s="2">
        <v>10.02</v>
      </c>
      <c r="H19" s="2">
        <v>51.24</v>
      </c>
      <c r="I19" s="92">
        <v>7.92</v>
      </c>
      <c r="J19" s="92">
        <v>3.2399999999999998</v>
      </c>
      <c r="K19" s="92">
        <v>40.08</v>
      </c>
      <c r="L19" s="92">
        <v>51.239999999999995</v>
      </c>
      <c r="M19" s="85"/>
      <c r="N19" s="85"/>
      <c r="O19" s="85"/>
      <c r="R19" s="8">
        <v>1.57</v>
      </c>
    </row>
    <row r="20" spans="1:19" s="8" customFormat="1" ht="18" customHeight="1">
      <c r="A20" s="48"/>
      <c r="B20" s="9" t="s">
        <v>22</v>
      </c>
      <c r="C20" s="51">
        <v>700</v>
      </c>
      <c r="D20" s="36">
        <v>71.540000000000006</v>
      </c>
      <c r="E20" s="36">
        <v>23.48</v>
      </c>
      <c r="F20" s="36">
        <v>23.46</v>
      </c>
      <c r="G20" s="36">
        <v>100.52</v>
      </c>
      <c r="H20" s="36">
        <v>707.1400000000001</v>
      </c>
      <c r="I20" s="37">
        <v>23.1</v>
      </c>
      <c r="J20" s="37">
        <v>23.700000000000003</v>
      </c>
      <c r="K20" s="37">
        <v>100.5</v>
      </c>
      <c r="L20" s="37">
        <v>705</v>
      </c>
      <c r="M20" s="37"/>
      <c r="N20" s="37"/>
      <c r="O20" s="37"/>
      <c r="R20" s="8">
        <v>7.5</v>
      </c>
    </row>
    <row r="21" spans="1:19" ht="18" customHeight="1">
      <c r="A21" s="48"/>
      <c r="B21" s="3" t="s">
        <v>9</v>
      </c>
      <c r="C21" s="51"/>
      <c r="D21" s="68"/>
      <c r="E21" s="36">
        <v>37.152500000000003</v>
      </c>
      <c r="F21" s="36">
        <v>39.164999999999999</v>
      </c>
      <c r="G21" s="36">
        <v>167.52249999999998</v>
      </c>
      <c r="H21" s="36">
        <v>1171.19</v>
      </c>
      <c r="I21" s="96"/>
      <c r="J21" s="96"/>
      <c r="K21" s="96"/>
      <c r="L21" s="96"/>
      <c r="M21" s="96"/>
      <c r="N21" s="96"/>
      <c r="O21" s="96"/>
      <c r="R21" s="11">
        <v>38.619999999999997</v>
      </c>
    </row>
    <row r="22" spans="1:19" ht="18" customHeight="1">
      <c r="A22" s="73"/>
      <c r="B22" s="23"/>
      <c r="C22" s="74"/>
      <c r="D22" s="75"/>
      <c r="E22" s="76"/>
      <c r="F22" s="76"/>
      <c r="G22" s="76"/>
      <c r="H22" s="76"/>
      <c r="I22" s="97"/>
      <c r="J22" s="97"/>
      <c r="K22" s="97"/>
      <c r="L22" s="97"/>
      <c r="M22" s="97"/>
      <c r="N22" s="97"/>
      <c r="O22" s="97"/>
    </row>
    <row r="23" spans="1:19" ht="18" customHeight="1">
      <c r="A23" s="117" t="s">
        <v>16</v>
      </c>
      <c r="B23" s="118"/>
      <c r="C23" s="54"/>
      <c r="D23" s="23"/>
      <c r="E23" s="23"/>
      <c r="F23" s="23"/>
      <c r="G23" s="23"/>
      <c r="H23" s="23"/>
      <c r="I23" s="18"/>
      <c r="J23" s="18"/>
      <c r="K23" s="18"/>
      <c r="L23" s="18"/>
      <c r="M23" s="18"/>
      <c r="N23" s="18"/>
      <c r="O23" s="18"/>
    </row>
    <row r="24" spans="1:19" ht="18" customHeight="1">
      <c r="A24" s="116" t="s">
        <v>10</v>
      </c>
      <c r="B24" s="113"/>
      <c r="C24" s="45"/>
      <c r="D24" s="38"/>
      <c r="E24" s="24"/>
      <c r="F24" s="69"/>
      <c r="G24" s="24"/>
      <c r="H24" s="24"/>
      <c r="I24" s="18"/>
      <c r="J24" s="18"/>
      <c r="K24" s="18"/>
      <c r="L24" s="18"/>
      <c r="M24" s="18"/>
      <c r="N24" s="18"/>
      <c r="O24" s="18"/>
    </row>
    <row r="25" spans="1:19" ht="18" customHeight="1">
      <c r="A25" s="46">
        <v>107</v>
      </c>
      <c r="B25" s="25" t="s">
        <v>50</v>
      </c>
      <c r="C25" s="57">
        <v>90</v>
      </c>
      <c r="D25" s="21">
        <v>41.6</v>
      </c>
      <c r="E25" s="22">
        <v>9.82</v>
      </c>
      <c r="F25" s="22">
        <v>10.039999999999999</v>
      </c>
      <c r="G25" s="22">
        <v>10.780000000000001</v>
      </c>
      <c r="H25" s="22">
        <v>172.76</v>
      </c>
      <c r="I25" s="92">
        <v>39.28</v>
      </c>
      <c r="J25" s="92">
        <v>90.359999999999985</v>
      </c>
      <c r="K25" s="92">
        <v>43.120000000000005</v>
      </c>
      <c r="L25" s="92">
        <v>172.76</v>
      </c>
      <c r="M25" s="95"/>
      <c r="N25" s="95"/>
      <c r="O25" s="95"/>
      <c r="R25" s="11">
        <v>12.3</v>
      </c>
    </row>
    <row r="26" spans="1:19" ht="18" customHeight="1">
      <c r="A26" s="46">
        <v>227</v>
      </c>
      <c r="B26" s="28" t="s">
        <v>20</v>
      </c>
      <c r="C26" s="52">
        <v>180</v>
      </c>
      <c r="D26" s="42">
        <v>20</v>
      </c>
      <c r="E26" s="17">
        <v>3.5</v>
      </c>
      <c r="F26" s="17">
        <v>5.4</v>
      </c>
      <c r="G26" s="17">
        <v>31</v>
      </c>
      <c r="H26" s="17">
        <v>186.6</v>
      </c>
      <c r="I26" s="92">
        <v>14</v>
      </c>
      <c r="J26" s="92">
        <v>48.6</v>
      </c>
      <c r="K26" s="92">
        <v>124</v>
      </c>
      <c r="L26" s="92">
        <v>186.6</v>
      </c>
      <c r="M26" s="92"/>
      <c r="N26" s="92"/>
      <c r="O26" s="92"/>
      <c r="P26" s="11">
        <v>0.79</v>
      </c>
      <c r="Q26" s="11">
        <v>2.1800000000000002</v>
      </c>
      <c r="R26" s="11">
        <v>2.97</v>
      </c>
    </row>
    <row r="27" spans="1:19" s="8" customFormat="1" ht="18" customHeight="1">
      <c r="A27" s="46">
        <v>307</v>
      </c>
      <c r="B27" s="26" t="s">
        <v>61</v>
      </c>
      <c r="C27" s="57">
        <v>200</v>
      </c>
      <c r="D27" s="21">
        <v>3.4</v>
      </c>
      <c r="E27" s="4">
        <v>0.1</v>
      </c>
      <c r="F27" s="4">
        <v>0</v>
      </c>
      <c r="G27" s="4">
        <v>15.2</v>
      </c>
      <c r="H27" s="78">
        <v>61</v>
      </c>
      <c r="I27" s="92">
        <v>0.4</v>
      </c>
      <c r="J27" s="92">
        <v>0</v>
      </c>
      <c r="K27" s="92">
        <v>60.8</v>
      </c>
      <c r="L27" s="92">
        <v>61.199999999999996</v>
      </c>
      <c r="M27" s="98"/>
      <c r="N27" s="98"/>
      <c r="O27" s="98"/>
      <c r="R27" s="8">
        <v>4.45</v>
      </c>
    </row>
    <row r="28" spans="1:19" ht="18" customHeight="1">
      <c r="A28" s="49" t="s">
        <v>44</v>
      </c>
      <c r="B28" s="4" t="s">
        <v>59</v>
      </c>
      <c r="C28" s="52">
        <v>30</v>
      </c>
      <c r="D28" s="21">
        <v>6.54</v>
      </c>
      <c r="E28" s="2">
        <v>1.98</v>
      </c>
      <c r="F28" s="53">
        <v>0.36</v>
      </c>
      <c r="G28" s="2">
        <v>10.02</v>
      </c>
      <c r="H28" s="2">
        <v>51.24</v>
      </c>
      <c r="I28" s="92">
        <v>7.92</v>
      </c>
      <c r="J28" s="92">
        <v>3.2399999999999998</v>
      </c>
      <c r="K28" s="92">
        <v>40.08</v>
      </c>
      <c r="L28" s="92">
        <v>51.239999999999995</v>
      </c>
      <c r="M28" s="85"/>
      <c r="N28" s="85"/>
      <c r="O28" s="85"/>
      <c r="R28" s="11">
        <v>3.15</v>
      </c>
    </row>
    <row r="29" spans="1:19" ht="18" customHeight="1">
      <c r="A29" s="47"/>
      <c r="B29" s="9" t="s">
        <v>22</v>
      </c>
      <c r="C29" s="51">
        <v>500</v>
      </c>
      <c r="D29" s="36">
        <v>71.540000000000006</v>
      </c>
      <c r="E29" s="36">
        <v>15.4</v>
      </c>
      <c r="F29" s="36">
        <v>15.799999999999999</v>
      </c>
      <c r="G29" s="36">
        <v>67</v>
      </c>
      <c r="H29" s="36">
        <v>471.6</v>
      </c>
      <c r="I29" s="37">
        <v>15.4</v>
      </c>
      <c r="J29" s="37">
        <v>15.8</v>
      </c>
      <c r="K29" s="37">
        <v>67</v>
      </c>
      <c r="L29" s="37">
        <v>470</v>
      </c>
      <c r="M29" s="37"/>
      <c r="N29" s="37"/>
      <c r="O29" s="37"/>
      <c r="P29" s="11">
        <v>11.000000000000007</v>
      </c>
      <c r="R29" s="11">
        <v>22.87</v>
      </c>
      <c r="S29" s="89">
        <v>0</v>
      </c>
    </row>
    <row r="30" spans="1:19" ht="18" customHeight="1">
      <c r="A30" s="111" t="s">
        <v>11</v>
      </c>
      <c r="B30" s="112"/>
      <c r="C30" s="55"/>
      <c r="D30" s="37"/>
      <c r="E30" s="18"/>
      <c r="F30" s="18"/>
      <c r="G30" s="18"/>
      <c r="H30" s="18"/>
      <c r="I30" s="97">
        <v>0</v>
      </c>
      <c r="J30" s="97">
        <v>0</v>
      </c>
      <c r="K30" s="97">
        <v>0</v>
      </c>
      <c r="L30" s="97">
        <v>1.6000000000000227</v>
      </c>
      <c r="M30" s="18"/>
      <c r="N30" s="18"/>
      <c r="O30" s="18"/>
    </row>
    <row r="31" spans="1:19" ht="18" customHeight="1">
      <c r="A31" s="46">
        <v>55</v>
      </c>
      <c r="B31" s="14" t="s">
        <v>32</v>
      </c>
      <c r="C31" s="58">
        <v>230</v>
      </c>
      <c r="D31" s="42">
        <v>15</v>
      </c>
      <c r="E31" s="19">
        <v>8.25</v>
      </c>
      <c r="F31" s="19">
        <v>9.6999999999999993</v>
      </c>
      <c r="G31" s="19">
        <v>31.8</v>
      </c>
      <c r="H31" s="19">
        <v>247.5</v>
      </c>
      <c r="I31" s="92">
        <v>33</v>
      </c>
      <c r="J31" s="92">
        <v>87.3</v>
      </c>
      <c r="K31" s="92">
        <v>127.2</v>
      </c>
      <c r="L31" s="92">
        <v>247.5</v>
      </c>
      <c r="M31" s="99"/>
      <c r="N31" s="99"/>
      <c r="O31" s="99"/>
      <c r="R31" s="11">
        <v>8.42</v>
      </c>
    </row>
    <row r="32" spans="1:19" ht="18" customHeight="1">
      <c r="A32" s="46">
        <v>136</v>
      </c>
      <c r="B32" s="26" t="s">
        <v>51</v>
      </c>
      <c r="C32" s="58">
        <v>90</v>
      </c>
      <c r="D32" s="42">
        <v>32</v>
      </c>
      <c r="E32" s="21">
        <v>8.5</v>
      </c>
      <c r="F32" s="21">
        <v>7.3000000000000007</v>
      </c>
      <c r="G32" s="21">
        <v>8.9</v>
      </c>
      <c r="H32" s="21">
        <v>135.30000000000001</v>
      </c>
      <c r="I32" s="92">
        <v>34</v>
      </c>
      <c r="J32" s="92">
        <v>65.7</v>
      </c>
      <c r="K32" s="92">
        <v>35.6</v>
      </c>
      <c r="L32" s="92">
        <v>135.30000000000001</v>
      </c>
      <c r="M32" s="100"/>
      <c r="N32" s="100"/>
      <c r="O32" s="100"/>
      <c r="R32" s="11">
        <v>12.6</v>
      </c>
    </row>
    <row r="33" spans="1:23" ht="18" customHeight="1">
      <c r="A33" s="46">
        <v>146</v>
      </c>
      <c r="B33" s="26" t="s">
        <v>27</v>
      </c>
      <c r="C33" s="52">
        <v>150</v>
      </c>
      <c r="D33" s="42">
        <v>15</v>
      </c>
      <c r="E33" s="22">
        <v>4.0999999999999996</v>
      </c>
      <c r="F33" s="22">
        <v>6.3</v>
      </c>
      <c r="G33" s="22">
        <v>26.7</v>
      </c>
      <c r="H33" s="22">
        <v>179.9</v>
      </c>
      <c r="I33" s="92">
        <v>16.399999999999999</v>
      </c>
      <c r="J33" s="92">
        <v>56.699999999999996</v>
      </c>
      <c r="K33" s="92">
        <v>106.8</v>
      </c>
      <c r="L33" s="92">
        <v>179.89999999999998</v>
      </c>
      <c r="M33" s="95"/>
      <c r="N33" s="95"/>
      <c r="O33" s="95"/>
      <c r="R33" s="11">
        <v>10</v>
      </c>
    </row>
    <row r="34" spans="1:23" ht="18" customHeight="1">
      <c r="A34" s="46">
        <v>320</v>
      </c>
      <c r="B34" s="14" t="s">
        <v>33</v>
      </c>
      <c r="C34" s="58">
        <v>200</v>
      </c>
      <c r="D34" s="42">
        <v>6</v>
      </c>
      <c r="E34" s="14">
        <v>0.99</v>
      </c>
      <c r="F34" s="14"/>
      <c r="G34" s="14">
        <v>22.94</v>
      </c>
      <c r="H34" s="14">
        <v>95.72</v>
      </c>
      <c r="I34" s="92">
        <v>3.96</v>
      </c>
      <c r="J34" s="92">
        <v>0</v>
      </c>
      <c r="K34" s="92">
        <v>91.76</v>
      </c>
      <c r="L34" s="92">
        <v>95.72</v>
      </c>
      <c r="M34" s="101"/>
      <c r="N34" s="101"/>
      <c r="O34" s="101"/>
      <c r="R34" s="11">
        <v>1.8</v>
      </c>
    </row>
    <row r="35" spans="1:23" s="8" customFormat="1" ht="18" customHeight="1">
      <c r="A35" s="49" t="s">
        <v>44</v>
      </c>
      <c r="B35" s="4" t="s">
        <v>5</v>
      </c>
      <c r="C35" s="52">
        <v>30</v>
      </c>
      <c r="D35" s="42">
        <v>3.54</v>
      </c>
      <c r="E35" s="2">
        <v>1.98</v>
      </c>
      <c r="F35" s="53">
        <v>0.36</v>
      </c>
      <c r="G35" s="2">
        <v>10.02</v>
      </c>
      <c r="H35" s="2">
        <v>51.24</v>
      </c>
      <c r="I35" s="92">
        <v>7.92</v>
      </c>
      <c r="J35" s="92">
        <v>3.2399999999999998</v>
      </c>
      <c r="K35" s="92">
        <v>40.08</v>
      </c>
      <c r="L35" s="92">
        <v>51.239999999999995</v>
      </c>
      <c r="M35" s="85"/>
      <c r="N35" s="85"/>
      <c r="O35" s="85"/>
      <c r="R35" s="8">
        <v>1.57</v>
      </c>
    </row>
    <row r="36" spans="1:23" s="8" customFormat="1" ht="18" customHeight="1">
      <c r="A36" s="48"/>
      <c r="B36" s="9" t="s">
        <v>22</v>
      </c>
      <c r="C36" s="51">
        <v>700</v>
      </c>
      <c r="D36" s="87">
        <v>71.540000000000006</v>
      </c>
      <c r="E36" s="87">
        <v>23.82</v>
      </c>
      <c r="F36" s="87">
        <v>23.66</v>
      </c>
      <c r="G36" s="87">
        <v>100.36</v>
      </c>
      <c r="H36" s="87">
        <v>709.66000000000008</v>
      </c>
      <c r="I36" s="92">
        <v>95.28</v>
      </c>
      <c r="J36" s="92">
        <v>212.94</v>
      </c>
      <c r="K36" s="92">
        <v>401.44</v>
      </c>
      <c r="L36" s="92">
        <v>709.66000000000008</v>
      </c>
      <c r="M36" s="87"/>
      <c r="N36" s="87"/>
      <c r="O36" s="87"/>
      <c r="P36" s="51">
        <v>0</v>
      </c>
      <c r="Q36" s="51">
        <v>0</v>
      </c>
      <c r="R36" s="51">
        <v>34.39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</row>
    <row r="37" spans="1:23" ht="18" customHeight="1">
      <c r="A37" s="48"/>
      <c r="B37" s="3" t="s">
        <v>9</v>
      </c>
      <c r="C37" s="51"/>
      <c r="D37" s="36"/>
      <c r="E37" s="36">
        <v>39.22</v>
      </c>
      <c r="F37" s="36">
        <v>39.46</v>
      </c>
      <c r="G37" s="36">
        <v>167.36</v>
      </c>
      <c r="H37" s="36">
        <v>1181.2600000000002</v>
      </c>
      <c r="I37" s="37">
        <v>23.1</v>
      </c>
      <c r="J37" s="37">
        <v>23.700000000000003</v>
      </c>
      <c r="K37" s="37">
        <v>100.5</v>
      </c>
      <c r="L37" s="37">
        <v>705</v>
      </c>
      <c r="M37" s="37"/>
      <c r="N37" s="37"/>
      <c r="O37" s="37"/>
    </row>
    <row r="38" spans="1:23" ht="30" customHeight="1">
      <c r="A38" s="118" t="s">
        <v>17</v>
      </c>
      <c r="B38" s="118"/>
      <c r="C38" s="54"/>
      <c r="D38" s="23"/>
      <c r="E38" s="23"/>
      <c r="F38" s="23"/>
      <c r="G38" s="23"/>
      <c r="H38" s="23"/>
      <c r="I38" s="18"/>
      <c r="J38" s="18"/>
      <c r="K38" s="18"/>
      <c r="L38" s="18"/>
      <c r="M38" s="18"/>
      <c r="N38" s="18"/>
      <c r="O38" s="18"/>
    </row>
    <row r="39" spans="1:23" ht="15.75">
      <c r="A39" s="113" t="s">
        <v>12</v>
      </c>
      <c r="B39" s="113"/>
      <c r="C39" s="45"/>
      <c r="D39" s="3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1:23" ht="18" customHeight="1">
      <c r="A40" s="46">
        <v>208</v>
      </c>
      <c r="B40" s="4" t="s">
        <v>72</v>
      </c>
      <c r="C40" s="52">
        <v>250</v>
      </c>
      <c r="D40" s="42">
        <v>30</v>
      </c>
      <c r="E40" s="17">
        <v>8.2716049382716061</v>
      </c>
      <c r="F40" s="17">
        <v>12.744938271604934</v>
      </c>
      <c r="G40" s="17">
        <v>40.246913580246911</v>
      </c>
      <c r="H40" s="77">
        <v>308.77777777777777</v>
      </c>
      <c r="I40" s="92">
        <v>33.086419753086425</v>
      </c>
      <c r="J40" s="92">
        <v>114.70444444444441</v>
      </c>
      <c r="K40" s="92">
        <v>160.98765432098764</v>
      </c>
      <c r="L40" s="92">
        <v>308.77851851851847</v>
      </c>
      <c r="M40" s="102"/>
      <c r="N40" s="102"/>
      <c r="O40" s="102"/>
      <c r="R40" s="11">
        <v>12.6</v>
      </c>
      <c r="S40" s="46">
        <v>99</v>
      </c>
    </row>
    <row r="41" spans="1:23" ht="18" customHeight="1">
      <c r="A41" s="49" t="s">
        <v>43</v>
      </c>
      <c r="B41" s="4" t="s">
        <v>71</v>
      </c>
      <c r="C41" s="52">
        <v>50</v>
      </c>
      <c r="D41" s="21">
        <v>24</v>
      </c>
      <c r="E41" s="4">
        <v>2.37</v>
      </c>
      <c r="F41" s="4">
        <v>0.3</v>
      </c>
      <c r="G41" s="4">
        <v>14.49</v>
      </c>
      <c r="H41" s="4">
        <v>70.14</v>
      </c>
      <c r="I41" s="92">
        <v>9.48</v>
      </c>
      <c r="J41" s="92">
        <v>2.6999999999999997</v>
      </c>
      <c r="K41" s="92">
        <v>57.96</v>
      </c>
      <c r="L41" s="92">
        <v>70.14</v>
      </c>
      <c r="M41" s="84"/>
      <c r="N41" s="84"/>
      <c r="O41" s="84"/>
      <c r="P41" s="11">
        <v>7.53</v>
      </c>
      <c r="Q41" s="11">
        <v>1.65</v>
      </c>
      <c r="R41" s="11">
        <v>9.18</v>
      </c>
    </row>
    <row r="42" spans="1:23" ht="18" customHeight="1">
      <c r="A42" s="46">
        <v>304</v>
      </c>
      <c r="B42" s="2" t="s">
        <v>38</v>
      </c>
      <c r="C42" s="52">
        <v>200</v>
      </c>
      <c r="D42" s="42">
        <v>17.54</v>
      </c>
      <c r="E42" s="4">
        <v>2.9</v>
      </c>
      <c r="F42" s="4">
        <v>2.8</v>
      </c>
      <c r="G42" s="4">
        <v>14.9</v>
      </c>
      <c r="H42" s="4">
        <v>94</v>
      </c>
      <c r="I42" s="92">
        <v>11.6</v>
      </c>
      <c r="J42" s="92">
        <v>25.2</v>
      </c>
      <c r="K42" s="92">
        <v>59.6</v>
      </c>
      <c r="L42" s="92">
        <v>96.4</v>
      </c>
      <c r="M42" s="84"/>
      <c r="N42" s="84"/>
      <c r="O42" s="84"/>
      <c r="R42" s="11">
        <v>1.57</v>
      </c>
    </row>
    <row r="43" spans="1:23" ht="18" customHeight="1">
      <c r="A43" s="48"/>
      <c r="B43" s="9" t="s">
        <v>22</v>
      </c>
      <c r="C43" s="51">
        <v>500</v>
      </c>
      <c r="D43" s="36">
        <v>71.539999999999992</v>
      </c>
      <c r="E43" s="5">
        <v>13.541604938271606</v>
      </c>
      <c r="F43" s="5">
        <v>15.844938271604935</v>
      </c>
      <c r="G43" s="5">
        <v>69.636913580246912</v>
      </c>
      <c r="H43" s="5">
        <v>472.91777777777776</v>
      </c>
      <c r="I43" s="37">
        <v>15.4</v>
      </c>
      <c r="J43" s="37">
        <v>15.8</v>
      </c>
      <c r="K43" s="37">
        <v>67</v>
      </c>
      <c r="L43" s="37">
        <v>470</v>
      </c>
      <c r="M43" s="10"/>
      <c r="N43" s="10"/>
      <c r="O43" s="10"/>
      <c r="P43" s="11">
        <v>3.0857999999999999</v>
      </c>
      <c r="Q43" s="11">
        <v>6.1400000000000006</v>
      </c>
      <c r="R43" s="11">
        <v>9.2257999999999996</v>
      </c>
    </row>
    <row r="44" spans="1:23" ht="18" customHeight="1">
      <c r="A44" s="111" t="s">
        <v>11</v>
      </c>
      <c r="B44" s="112"/>
      <c r="C44" s="55"/>
      <c r="D44" s="37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23" ht="18" customHeight="1">
      <c r="A45" s="49" t="s">
        <v>47</v>
      </c>
      <c r="B45" s="26" t="s">
        <v>24</v>
      </c>
      <c r="C45" s="57">
        <v>25</v>
      </c>
      <c r="D45" s="21">
        <v>8.86</v>
      </c>
      <c r="E45" s="67">
        <v>0.8</v>
      </c>
      <c r="F45" s="32">
        <v>0.13333333333333333</v>
      </c>
      <c r="G45" s="32">
        <v>2.5333333333333332</v>
      </c>
      <c r="H45" s="32">
        <v>14.53</v>
      </c>
      <c r="I45" s="92">
        <v>3.2</v>
      </c>
      <c r="J45" s="92">
        <v>1.2</v>
      </c>
      <c r="K45" s="92">
        <v>10.133333333333333</v>
      </c>
      <c r="L45" s="92">
        <v>14.533333333333333</v>
      </c>
      <c r="M45" s="103"/>
      <c r="N45" s="103"/>
      <c r="O45" s="103"/>
      <c r="R45" s="11">
        <v>7.4</v>
      </c>
    </row>
    <row r="46" spans="1:23" ht="18" customHeight="1">
      <c r="A46" s="46">
        <v>62</v>
      </c>
      <c r="B46" s="1" t="s">
        <v>37</v>
      </c>
      <c r="C46" s="30">
        <v>250</v>
      </c>
      <c r="D46" s="21">
        <v>20</v>
      </c>
      <c r="E46" s="16">
        <v>5.8</v>
      </c>
      <c r="F46" s="16">
        <v>4.3</v>
      </c>
      <c r="G46" s="16">
        <v>27.8</v>
      </c>
      <c r="H46" s="4">
        <v>173.1</v>
      </c>
      <c r="I46" s="92">
        <v>23.2</v>
      </c>
      <c r="J46" s="92">
        <v>38.699999999999996</v>
      </c>
      <c r="K46" s="92">
        <v>111.2</v>
      </c>
      <c r="L46" s="92">
        <v>173.1</v>
      </c>
      <c r="M46" s="84"/>
      <c r="N46" s="84"/>
      <c r="O46" s="84"/>
      <c r="R46" s="11">
        <v>8.6999999999999993</v>
      </c>
    </row>
    <row r="47" spans="1:23" ht="18" customHeight="1">
      <c r="A47" s="46">
        <v>391</v>
      </c>
      <c r="B47" s="28" t="s">
        <v>73</v>
      </c>
      <c r="C47" s="31">
        <v>180</v>
      </c>
      <c r="D47" s="21">
        <v>30.46</v>
      </c>
      <c r="E47" s="32">
        <v>14.329999999999998</v>
      </c>
      <c r="F47" s="32">
        <v>18.836666666666666</v>
      </c>
      <c r="G47" s="32">
        <v>42.980000000000004</v>
      </c>
      <c r="H47" s="32">
        <v>398.77</v>
      </c>
      <c r="I47" s="92">
        <v>57.319999999999993</v>
      </c>
      <c r="J47" s="92">
        <v>169.53</v>
      </c>
      <c r="K47" s="92">
        <v>171.92000000000002</v>
      </c>
      <c r="L47" s="92">
        <v>398.77</v>
      </c>
      <c r="M47" s="103"/>
      <c r="N47" s="103"/>
      <c r="O47" s="103"/>
      <c r="R47" s="11">
        <v>18.899999999999999</v>
      </c>
    </row>
    <row r="48" spans="1:23" s="8" customFormat="1" ht="18" customHeight="1">
      <c r="A48" s="46">
        <v>311</v>
      </c>
      <c r="B48" s="13" t="s">
        <v>28</v>
      </c>
      <c r="C48" s="31">
        <v>200</v>
      </c>
      <c r="D48" s="21">
        <v>7.5</v>
      </c>
      <c r="E48" s="22">
        <v>0.2</v>
      </c>
      <c r="F48" s="22">
        <v>0.1</v>
      </c>
      <c r="G48" s="22">
        <v>17.2</v>
      </c>
      <c r="H48" s="13">
        <v>70</v>
      </c>
      <c r="I48" s="92">
        <v>0.8</v>
      </c>
      <c r="J48" s="92">
        <v>0.9</v>
      </c>
      <c r="K48" s="92">
        <v>68.8</v>
      </c>
      <c r="L48" s="92">
        <v>70.5</v>
      </c>
      <c r="M48" s="86"/>
      <c r="N48" s="86"/>
      <c r="O48" s="86"/>
      <c r="R48" s="8">
        <v>3.4</v>
      </c>
    </row>
    <row r="49" spans="1:27" s="8" customFormat="1" ht="18" customHeight="1">
      <c r="A49" s="49" t="s">
        <v>44</v>
      </c>
      <c r="B49" s="4" t="s">
        <v>5</v>
      </c>
      <c r="C49" s="52">
        <v>45</v>
      </c>
      <c r="D49" s="42">
        <v>4.7200000000000006</v>
      </c>
      <c r="E49" s="2">
        <v>1.98</v>
      </c>
      <c r="F49" s="53">
        <v>0.36</v>
      </c>
      <c r="G49" s="2">
        <v>10.02</v>
      </c>
      <c r="H49" s="2">
        <v>51.24</v>
      </c>
      <c r="I49" s="92">
        <v>7.92</v>
      </c>
      <c r="J49" s="92">
        <v>3.2399999999999998</v>
      </c>
      <c r="K49" s="92">
        <v>40.08</v>
      </c>
      <c r="L49" s="92">
        <v>51.239999999999995</v>
      </c>
      <c r="M49" s="85"/>
      <c r="N49" s="85"/>
      <c r="O49" s="85"/>
      <c r="R49" s="8">
        <v>1.57</v>
      </c>
    </row>
    <row r="50" spans="1:27" ht="18" customHeight="1">
      <c r="A50" s="48"/>
      <c r="B50" s="9" t="s">
        <v>22</v>
      </c>
      <c r="C50" s="51">
        <v>700</v>
      </c>
      <c r="D50" s="36">
        <v>71.539999999999992</v>
      </c>
      <c r="E50" s="5">
        <v>23.11</v>
      </c>
      <c r="F50" s="5">
        <v>23.73</v>
      </c>
      <c r="G50" s="5">
        <v>100.53333333333333</v>
      </c>
      <c r="H50" s="5">
        <v>707.64</v>
      </c>
      <c r="I50" s="37">
        <v>23.1</v>
      </c>
      <c r="J50" s="37">
        <v>23.700000000000003</v>
      </c>
      <c r="K50" s="37">
        <v>100.5</v>
      </c>
      <c r="L50" s="37">
        <v>705</v>
      </c>
      <c r="M50" s="10"/>
      <c r="N50" s="10"/>
      <c r="O50" s="10"/>
      <c r="P50" s="89">
        <v>0</v>
      </c>
      <c r="R50" s="11">
        <v>39.97</v>
      </c>
    </row>
    <row r="51" spans="1:27" ht="18" customHeight="1">
      <c r="A51" s="48"/>
      <c r="B51" s="3" t="s">
        <v>9</v>
      </c>
      <c r="C51" s="51"/>
      <c r="D51" s="72"/>
      <c r="E51" s="72">
        <v>36.651604938271603</v>
      </c>
      <c r="F51" s="72">
        <v>39.574938271604935</v>
      </c>
      <c r="G51" s="72">
        <v>170.17024691358023</v>
      </c>
      <c r="H51" s="72">
        <v>1180.5577777777778</v>
      </c>
      <c r="I51" s="104">
        <v>9.9999999999980105E-3</v>
      </c>
      <c r="J51" s="104">
        <v>2.9999999999997584E-2</v>
      </c>
      <c r="K51" s="104">
        <v>3.3333333333331439E-2</v>
      </c>
      <c r="L51" s="104"/>
      <c r="M51" s="104"/>
      <c r="N51" s="104"/>
      <c r="O51" s="104"/>
    </row>
    <row r="52" spans="1:27" ht="18" customHeight="1">
      <c r="A52" s="117" t="s">
        <v>18</v>
      </c>
      <c r="B52" s="118"/>
      <c r="C52" s="54"/>
      <c r="D52" s="23"/>
      <c r="E52" s="18"/>
      <c r="F52" s="18"/>
      <c r="G52" s="18"/>
      <c r="H52" s="23"/>
      <c r="I52" s="18"/>
      <c r="J52" s="18"/>
      <c r="K52" s="18"/>
      <c r="L52" s="18"/>
      <c r="M52" s="18"/>
      <c r="N52" s="18"/>
      <c r="O52" s="18"/>
    </row>
    <row r="53" spans="1:27" ht="18" customHeight="1">
      <c r="A53" s="113" t="s">
        <v>12</v>
      </c>
      <c r="B53" s="113"/>
      <c r="C53" s="45"/>
      <c r="D53" s="37"/>
      <c r="E53" s="10"/>
      <c r="F53" s="18"/>
      <c r="G53" s="10"/>
      <c r="H53" s="18"/>
      <c r="I53" s="18"/>
      <c r="J53" s="18"/>
      <c r="K53" s="18"/>
      <c r="L53" s="18"/>
      <c r="M53" s="18"/>
      <c r="N53" s="18"/>
      <c r="O53" s="18"/>
    </row>
    <row r="54" spans="1:27" ht="18" customHeight="1">
      <c r="A54" s="46">
        <v>234</v>
      </c>
      <c r="B54" s="2" t="s">
        <v>26</v>
      </c>
      <c r="C54" s="30">
        <v>150</v>
      </c>
      <c r="D54" s="21">
        <v>28.79</v>
      </c>
      <c r="E54" s="16">
        <v>11.73</v>
      </c>
      <c r="F54" s="16">
        <v>15.486666666666698</v>
      </c>
      <c r="G54" s="16">
        <v>21.73</v>
      </c>
      <c r="H54" s="16">
        <v>273.22000000000003</v>
      </c>
      <c r="I54" s="92">
        <v>46.92</v>
      </c>
      <c r="J54" s="92">
        <v>139.38000000000028</v>
      </c>
      <c r="K54" s="92">
        <v>86.92</v>
      </c>
      <c r="L54" s="92">
        <v>273.22000000000031</v>
      </c>
      <c r="M54" s="105"/>
      <c r="N54" s="105"/>
      <c r="O54" s="105"/>
      <c r="R54" s="11">
        <v>11.95</v>
      </c>
      <c r="T54" s="46">
        <v>234</v>
      </c>
      <c r="U54" s="2" t="s">
        <v>26</v>
      </c>
      <c r="V54" s="30">
        <v>150</v>
      </c>
      <c r="W54" s="21" t="e">
        <v>#REF!</v>
      </c>
      <c r="X54" s="16">
        <v>9.7333333333333325</v>
      </c>
      <c r="Y54" s="16">
        <v>17.06666666666667</v>
      </c>
      <c r="Z54" s="16">
        <v>1.7333333333333332</v>
      </c>
      <c r="AA54" s="16">
        <v>199.33333333333334</v>
      </c>
    </row>
    <row r="55" spans="1:27" s="8" customFormat="1" ht="18" customHeight="1">
      <c r="A55" s="46">
        <v>300</v>
      </c>
      <c r="B55" s="26" t="s">
        <v>30</v>
      </c>
      <c r="C55" s="52">
        <v>200</v>
      </c>
      <c r="D55" s="21">
        <v>2.5</v>
      </c>
      <c r="E55" s="4">
        <v>0.1</v>
      </c>
      <c r="F55" s="4">
        <v>0</v>
      </c>
      <c r="G55" s="4">
        <v>20.2</v>
      </c>
      <c r="H55" s="4">
        <v>81.2</v>
      </c>
      <c r="I55" s="92">
        <v>0.4</v>
      </c>
      <c r="J55" s="92">
        <v>0</v>
      </c>
      <c r="K55" s="92">
        <v>80.8</v>
      </c>
      <c r="L55" s="92">
        <v>81.2</v>
      </c>
      <c r="M55" s="84"/>
      <c r="N55" s="84"/>
      <c r="O55" s="84"/>
      <c r="P55" s="8">
        <v>3.0585</v>
      </c>
      <c r="Q55" s="8">
        <v>7.9</v>
      </c>
      <c r="R55" s="8">
        <v>10.958500000000001</v>
      </c>
      <c r="T55" s="46">
        <v>300</v>
      </c>
      <c r="U55" s="26" t="s">
        <v>30</v>
      </c>
      <c r="V55" s="52">
        <v>200</v>
      </c>
      <c r="W55" s="21">
        <v>5</v>
      </c>
      <c r="X55" s="4">
        <v>0.1</v>
      </c>
      <c r="Y55" s="4">
        <v>0</v>
      </c>
      <c r="Z55" s="4">
        <v>15.2</v>
      </c>
      <c r="AA55" s="4">
        <v>61</v>
      </c>
    </row>
    <row r="56" spans="1:27" ht="18" customHeight="1">
      <c r="A56" s="46" t="s">
        <v>42</v>
      </c>
      <c r="B56" s="14" t="s">
        <v>39</v>
      </c>
      <c r="C56" s="31">
        <v>100</v>
      </c>
      <c r="D56" s="42">
        <v>18.52</v>
      </c>
      <c r="E56" s="17">
        <v>1.401923076923077</v>
      </c>
      <c r="F56" s="17">
        <v>0.3115384615384616</v>
      </c>
      <c r="G56" s="17">
        <v>3.5711538461538463</v>
      </c>
      <c r="H56" s="17">
        <v>22.7</v>
      </c>
      <c r="I56" s="92">
        <v>5.6076923076923082</v>
      </c>
      <c r="J56" s="92">
        <v>2.8038461538461545</v>
      </c>
      <c r="K56" s="92">
        <v>14.284615384615385</v>
      </c>
      <c r="L56" s="92">
        <v>22.696153846153848</v>
      </c>
      <c r="M56" s="92"/>
      <c r="N56" s="92"/>
      <c r="O56" s="92"/>
      <c r="R56" s="11">
        <v>7.97</v>
      </c>
      <c r="T56" s="46" t="s">
        <v>42</v>
      </c>
      <c r="U56" s="14" t="s">
        <v>39</v>
      </c>
      <c r="V56" s="31">
        <v>100</v>
      </c>
      <c r="W56" s="42">
        <v>18.52</v>
      </c>
      <c r="X56" s="17">
        <v>1.8225000000000005</v>
      </c>
      <c r="Y56" s="17">
        <v>0.40500000000000003</v>
      </c>
      <c r="Z56" s="17">
        <v>1.6425000000000001</v>
      </c>
      <c r="AA56" s="17">
        <v>17.504999999999999</v>
      </c>
    </row>
    <row r="57" spans="1:27" ht="18" customHeight="1">
      <c r="A57" s="49" t="s">
        <v>43</v>
      </c>
      <c r="B57" s="4" t="s">
        <v>76</v>
      </c>
      <c r="C57" s="52">
        <v>50</v>
      </c>
      <c r="D57" s="21">
        <v>21.73</v>
      </c>
      <c r="E57" s="4">
        <v>2.37</v>
      </c>
      <c r="F57" s="4">
        <v>0.3</v>
      </c>
      <c r="G57" s="4">
        <v>21.5</v>
      </c>
      <c r="H57" s="4">
        <v>98.18</v>
      </c>
      <c r="I57" s="92"/>
      <c r="J57" s="92"/>
      <c r="K57" s="92"/>
      <c r="L57" s="92"/>
      <c r="M57" s="92"/>
      <c r="N57" s="92"/>
      <c r="O57" s="92"/>
      <c r="T57" s="46"/>
      <c r="U57" s="14"/>
      <c r="V57" s="31"/>
      <c r="W57" s="42"/>
      <c r="X57" s="17"/>
      <c r="Y57" s="17"/>
      <c r="Z57" s="17"/>
      <c r="AA57" s="17"/>
    </row>
    <row r="58" spans="1:27" ht="18" customHeight="1">
      <c r="A58" s="48"/>
      <c r="B58" s="9" t="s">
        <v>22</v>
      </c>
      <c r="C58" s="51">
        <v>500</v>
      </c>
      <c r="D58" s="36">
        <v>71.540000000000006</v>
      </c>
      <c r="E58" s="5">
        <v>13.231923076923078</v>
      </c>
      <c r="F58" s="5">
        <v>15.79820512820516</v>
      </c>
      <c r="G58" s="5">
        <v>45.501153846153848</v>
      </c>
      <c r="H58" s="5">
        <v>377.12</v>
      </c>
      <c r="I58" s="37">
        <v>15.4</v>
      </c>
      <c r="J58" s="37">
        <v>15.8</v>
      </c>
      <c r="K58" s="37">
        <v>67</v>
      </c>
      <c r="L58" s="37">
        <v>470</v>
      </c>
      <c r="M58" s="10"/>
      <c r="N58" s="10"/>
      <c r="O58" s="10"/>
      <c r="P58" s="11">
        <v>71.540000000000006</v>
      </c>
      <c r="Q58" s="89">
        <v>0</v>
      </c>
      <c r="R58" s="11">
        <v>30.878499999999999</v>
      </c>
      <c r="S58" s="89">
        <v>0</v>
      </c>
      <c r="T58" s="48"/>
      <c r="U58" s="9" t="s">
        <v>22</v>
      </c>
      <c r="V58" s="51">
        <v>450</v>
      </c>
      <c r="W58" s="36" t="e">
        <v>#REF!</v>
      </c>
      <c r="X58" s="36">
        <v>11.655833333333332</v>
      </c>
      <c r="Y58" s="36">
        <v>17.471666666666671</v>
      </c>
      <c r="Z58" s="36">
        <v>18.575833333333335</v>
      </c>
      <c r="AA58" s="36">
        <v>277.83833333333337</v>
      </c>
    </row>
    <row r="59" spans="1:27" ht="18" customHeight="1">
      <c r="A59" s="111" t="s">
        <v>11</v>
      </c>
      <c r="B59" s="112"/>
      <c r="C59" s="55"/>
      <c r="D59" s="37"/>
      <c r="E59" s="18"/>
      <c r="F59" s="18"/>
      <c r="G59" s="18"/>
      <c r="H59" s="18"/>
      <c r="I59" s="97">
        <v>2.1680769230769226</v>
      </c>
      <c r="J59" s="97">
        <v>1.7948717948410575E-3</v>
      </c>
      <c r="K59" s="97">
        <v>21.498846153846152</v>
      </c>
      <c r="L59" s="18"/>
      <c r="M59" s="18"/>
      <c r="N59" s="18"/>
      <c r="O59" s="18"/>
    </row>
    <row r="60" spans="1:27" ht="15.75">
      <c r="A60" s="46">
        <v>65</v>
      </c>
      <c r="B60" s="20" t="s">
        <v>66</v>
      </c>
      <c r="C60" s="64">
        <v>250</v>
      </c>
      <c r="D60" s="39">
        <v>20</v>
      </c>
      <c r="E60" s="13">
        <v>7.3</v>
      </c>
      <c r="F60" s="13">
        <v>7.4</v>
      </c>
      <c r="G60" s="13">
        <v>30.8</v>
      </c>
      <c r="H60" s="13">
        <v>219</v>
      </c>
      <c r="I60" s="92">
        <v>29.2</v>
      </c>
      <c r="J60" s="92">
        <v>66.600000000000009</v>
      </c>
      <c r="K60" s="92">
        <v>123.2</v>
      </c>
      <c r="L60" s="92">
        <v>219</v>
      </c>
      <c r="M60" s="86"/>
      <c r="N60" s="86"/>
      <c r="O60" s="86"/>
      <c r="R60" s="11">
        <v>9.125</v>
      </c>
    </row>
    <row r="61" spans="1:27" s="8" customFormat="1" ht="18" customHeight="1">
      <c r="A61" s="46">
        <v>259</v>
      </c>
      <c r="B61" s="26" t="s">
        <v>74</v>
      </c>
      <c r="C61" s="57">
        <v>220</v>
      </c>
      <c r="D61" s="21">
        <v>38</v>
      </c>
      <c r="E61" s="67">
        <v>13.120000000000001</v>
      </c>
      <c r="F61" s="67">
        <v>15.64</v>
      </c>
      <c r="G61" s="67">
        <v>29.87</v>
      </c>
      <c r="H61" s="67">
        <v>312.72000000000003</v>
      </c>
      <c r="I61" s="92">
        <v>52.480000000000004</v>
      </c>
      <c r="J61" s="92">
        <v>140.76</v>
      </c>
      <c r="K61" s="92">
        <v>119.48</v>
      </c>
      <c r="L61" s="92">
        <v>312.72000000000003</v>
      </c>
      <c r="M61" s="106"/>
      <c r="N61" s="106"/>
      <c r="O61" s="106"/>
      <c r="P61" s="11"/>
      <c r="Q61" s="11"/>
      <c r="R61" s="11">
        <v>22.14</v>
      </c>
      <c r="S61" s="11"/>
    </row>
    <row r="62" spans="1:27" s="8" customFormat="1" ht="18" customHeight="1">
      <c r="A62" s="46">
        <v>319</v>
      </c>
      <c r="B62" s="13" t="s">
        <v>1</v>
      </c>
      <c r="C62" s="60">
        <v>200</v>
      </c>
      <c r="D62" s="21">
        <v>10</v>
      </c>
      <c r="E62" s="22">
        <v>0.7</v>
      </c>
      <c r="F62" s="22">
        <v>0.3</v>
      </c>
      <c r="G62" s="22">
        <v>29</v>
      </c>
      <c r="H62" s="13">
        <v>121.5</v>
      </c>
      <c r="I62" s="92">
        <v>2.8</v>
      </c>
      <c r="J62" s="92">
        <v>2.6999999999999997</v>
      </c>
      <c r="K62" s="92">
        <v>116</v>
      </c>
      <c r="L62" s="92">
        <v>121.5</v>
      </c>
      <c r="M62" s="86"/>
      <c r="N62" s="86"/>
      <c r="O62" s="86"/>
      <c r="P62" s="8">
        <v>3.3</v>
      </c>
      <c r="Q62" s="8">
        <v>1.1200000000000001</v>
      </c>
      <c r="R62" s="8">
        <v>4.42</v>
      </c>
    </row>
    <row r="63" spans="1:27" ht="18" customHeight="1">
      <c r="A63" s="49" t="s">
        <v>44</v>
      </c>
      <c r="B63" s="4" t="s">
        <v>5</v>
      </c>
      <c r="C63" s="61">
        <v>30</v>
      </c>
      <c r="D63" s="42">
        <v>3.54</v>
      </c>
      <c r="E63" s="2">
        <v>1.98</v>
      </c>
      <c r="F63" s="53">
        <v>0.36</v>
      </c>
      <c r="G63" s="2">
        <v>10.02</v>
      </c>
      <c r="H63" s="2">
        <v>51.24</v>
      </c>
      <c r="I63" s="92">
        <v>7.92</v>
      </c>
      <c r="J63" s="92">
        <v>3.2399999999999998</v>
      </c>
      <c r="K63" s="92">
        <v>40.08</v>
      </c>
      <c r="L63" s="92">
        <v>51.239999999999995</v>
      </c>
      <c r="M63" s="85"/>
      <c r="N63" s="85"/>
      <c r="O63" s="85"/>
      <c r="P63" s="8"/>
      <c r="Q63" s="8"/>
      <c r="R63" s="8">
        <v>1.57</v>
      </c>
      <c r="S63" s="8"/>
    </row>
    <row r="64" spans="1:27" ht="18" customHeight="1">
      <c r="A64" s="48"/>
      <c r="B64" s="9" t="s">
        <v>22</v>
      </c>
      <c r="C64" s="51">
        <v>700</v>
      </c>
      <c r="D64" s="36">
        <v>71.540000000000006</v>
      </c>
      <c r="E64" s="5">
        <v>23.1</v>
      </c>
      <c r="F64" s="5">
        <v>23.7</v>
      </c>
      <c r="G64" s="5">
        <v>99.69</v>
      </c>
      <c r="H64" s="5">
        <v>704.46</v>
      </c>
      <c r="I64" s="37">
        <v>23.1</v>
      </c>
      <c r="J64" s="37">
        <v>23.700000000000003</v>
      </c>
      <c r="K64" s="37">
        <v>100.5</v>
      </c>
      <c r="L64" s="37">
        <v>705</v>
      </c>
      <c r="M64" s="10"/>
      <c r="N64" s="10"/>
      <c r="O64" s="10"/>
      <c r="R64" s="11">
        <v>37.255000000000003</v>
      </c>
    </row>
    <row r="65" spans="1:19" ht="18" customHeight="1">
      <c r="A65" s="48"/>
      <c r="B65" s="3" t="s">
        <v>9</v>
      </c>
      <c r="C65" s="51"/>
      <c r="D65" s="68"/>
      <c r="E65" s="6">
        <v>36.331923076923076</v>
      </c>
      <c r="F65" s="6">
        <v>39.498205128205157</v>
      </c>
      <c r="G65" s="6">
        <v>145.19115384615384</v>
      </c>
      <c r="H65" s="6">
        <v>1081.58</v>
      </c>
      <c r="I65" s="97">
        <v>0</v>
      </c>
      <c r="J65" s="97">
        <v>0</v>
      </c>
      <c r="K65" s="97">
        <v>-0.81000000000000227</v>
      </c>
      <c r="L65" s="97">
        <v>-0.53999999999996362</v>
      </c>
      <c r="M65" s="97"/>
      <c r="N65" s="97"/>
      <c r="O65" s="97"/>
    </row>
    <row r="66" spans="1:19" ht="18" customHeight="1">
      <c r="A66" s="117" t="s">
        <v>19</v>
      </c>
      <c r="B66" s="118"/>
      <c r="C66" s="54"/>
      <c r="D66" s="23"/>
      <c r="E66" s="23"/>
      <c r="F66" s="23"/>
      <c r="G66" s="23"/>
      <c r="H66" s="23"/>
      <c r="I66" s="18"/>
      <c r="J66" s="18"/>
      <c r="K66" s="18"/>
      <c r="L66" s="18"/>
      <c r="M66" s="18"/>
      <c r="N66" s="18"/>
      <c r="O66" s="18"/>
    </row>
    <row r="67" spans="1:19" ht="18" customHeight="1">
      <c r="A67" s="113" t="s">
        <v>12</v>
      </c>
      <c r="B67" s="113"/>
      <c r="C67" s="45"/>
      <c r="D67" s="37"/>
      <c r="E67" s="18"/>
      <c r="F67" s="10"/>
      <c r="G67" s="10"/>
      <c r="H67" s="18"/>
      <c r="I67" s="18"/>
      <c r="J67" s="18"/>
      <c r="K67" s="18"/>
      <c r="L67" s="18"/>
      <c r="M67" s="18"/>
      <c r="N67" s="18"/>
      <c r="O67" s="18"/>
    </row>
    <row r="68" spans="1:19" ht="18" customHeight="1">
      <c r="A68" s="46">
        <v>96</v>
      </c>
      <c r="B68" s="1" t="s">
        <v>75</v>
      </c>
      <c r="C68" s="30">
        <v>90</v>
      </c>
      <c r="D68" s="21">
        <v>49.6</v>
      </c>
      <c r="E68" s="16">
        <v>7.02</v>
      </c>
      <c r="F68" s="16">
        <v>7.3400000000000007</v>
      </c>
      <c r="G68" s="16">
        <v>7.1</v>
      </c>
      <c r="H68" s="16">
        <v>122.54</v>
      </c>
      <c r="I68" s="92">
        <v>28.08</v>
      </c>
      <c r="J68" s="92">
        <v>66.06</v>
      </c>
      <c r="K68" s="92">
        <v>28.4</v>
      </c>
      <c r="L68" s="92">
        <v>122.53999999999999</v>
      </c>
      <c r="M68" s="105"/>
      <c r="N68" s="105"/>
      <c r="O68" s="105"/>
      <c r="R68" s="11">
        <v>22.5</v>
      </c>
    </row>
    <row r="69" spans="1:19" ht="18" customHeight="1">
      <c r="A69" s="49" t="s">
        <v>45</v>
      </c>
      <c r="B69" s="1" t="s">
        <v>21</v>
      </c>
      <c r="C69" s="58">
        <v>180</v>
      </c>
      <c r="D69" s="42">
        <v>12</v>
      </c>
      <c r="E69" s="14">
        <v>5.7200000000000006</v>
      </c>
      <c r="F69" s="14">
        <v>8.16</v>
      </c>
      <c r="G69" s="14">
        <v>30.36</v>
      </c>
      <c r="H69" s="15">
        <v>217.76</v>
      </c>
      <c r="I69" s="92">
        <v>22.880000000000003</v>
      </c>
      <c r="J69" s="92">
        <v>73.44</v>
      </c>
      <c r="K69" s="92">
        <v>121.44</v>
      </c>
      <c r="L69" s="92">
        <v>217.76</v>
      </c>
      <c r="M69" s="94"/>
      <c r="N69" s="94"/>
      <c r="O69" s="94"/>
      <c r="R69" s="11">
        <v>4</v>
      </c>
    </row>
    <row r="70" spans="1:19" ht="18" customHeight="1">
      <c r="A70" s="46">
        <v>307</v>
      </c>
      <c r="B70" s="26" t="s">
        <v>61</v>
      </c>
      <c r="C70" s="57">
        <v>200</v>
      </c>
      <c r="D70" s="21">
        <v>3.4</v>
      </c>
      <c r="E70" s="4">
        <v>0.1</v>
      </c>
      <c r="F70" s="4">
        <v>0</v>
      </c>
      <c r="G70" s="4">
        <v>15.2</v>
      </c>
      <c r="H70" s="78">
        <v>61</v>
      </c>
      <c r="I70" s="92">
        <v>0.4</v>
      </c>
      <c r="J70" s="92">
        <v>0</v>
      </c>
      <c r="K70" s="92">
        <v>60.8</v>
      </c>
      <c r="L70" s="92">
        <v>61.199999999999996</v>
      </c>
      <c r="M70" s="98"/>
      <c r="N70" s="98"/>
      <c r="O70" s="98"/>
      <c r="R70" s="11">
        <v>2.97</v>
      </c>
    </row>
    <row r="71" spans="1:19" ht="18" customHeight="1">
      <c r="A71" s="49" t="s">
        <v>43</v>
      </c>
      <c r="B71" s="4" t="s">
        <v>0</v>
      </c>
      <c r="C71" s="52">
        <v>30</v>
      </c>
      <c r="D71" s="21">
        <v>6.54</v>
      </c>
      <c r="E71" s="4">
        <v>2.37</v>
      </c>
      <c r="F71" s="4">
        <v>0.3</v>
      </c>
      <c r="G71" s="4">
        <v>14.49</v>
      </c>
      <c r="H71" s="4">
        <v>70.14</v>
      </c>
      <c r="I71" s="92">
        <v>9.48</v>
      </c>
      <c r="J71" s="92">
        <v>2.6999999999999997</v>
      </c>
      <c r="K71" s="92">
        <v>57.96</v>
      </c>
      <c r="L71" s="92">
        <v>70.14</v>
      </c>
      <c r="M71" s="84"/>
      <c r="N71" s="84"/>
      <c r="O71" s="84"/>
      <c r="R71" s="11">
        <v>1.57</v>
      </c>
    </row>
    <row r="72" spans="1:19" ht="18" customHeight="1">
      <c r="A72" s="48"/>
      <c r="B72" s="9" t="s">
        <v>22</v>
      </c>
      <c r="C72" s="51">
        <v>500</v>
      </c>
      <c r="D72" s="36">
        <v>71.540000000000006</v>
      </c>
      <c r="E72" s="36">
        <v>15.21</v>
      </c>
      <c r="F72" s="36">
        <v>15.8</v>
      </c>
      <c r="G72" s="36">
        <v>67.149999999999991</v>
      </c>
      <c r="H72" s="36">
        <v>471.44</v>
      </c>
      <c r="I72" s="37">
        <v>15.4</v>
      </c>
      <c r="J72" s="37">
        <v>15.8</v>
      </c>
      <c r="K72" s="37">
        <v>67</v>
      </c>
      <c r="L72" s="37">
        <v>470</v>
      </c>
      <c r="M72" s="37"/>
      <c r="N72" s="37"/>
      <c r="O72" s="37"/>
      <c r="P72" s="89"/>
      <c r="R72" s="11">
        <v>31.04</v>
      </c>
    </row>
    <row r="73" spans="1:19" ht="18" customHeight="1">
      <c r="A73" s="111" t="s">
        <v>11</v>
      </c>
      <c r="B73" s="112"/>
      <c r="C73" s="55"/>
      <c r="D73" s="37"/>
      <c r="E73" s="18"/>
      <c r="F73" s="18"/>
      <c r="G73" s="18"/>
      <c r="H73" s="18"/>
      <c r="I73" s="97">
        <v>-0.1899999999999995</v>
      </c>
      <c r="J73" s="97">
        <v>0</v>
      </c>
      <c r="K73" s="18"/>
      <c r="L73" s="18"/>
      <c r="M73" s="18"/>
      <c r="N73" s="18"/>
      <c r="O73" s="18"/>
    </row>
    <row r="74" spans="1:19" ht="18" customHeight="1">
      <c r="A74" s="46">
        <v>58</v>
      </c>
      <c r="B74" s="25" t="s">
        <v>48</v>
      </c>
      <c r="C74" s="59">
        <v>220</v>
      </c>
      <c r="D74" s="42">
        <v>15.5</v>
      </c>
      <c r="E74" s="14">
        <v>6.58</v>
      </c>
      <c r="F74" s="14">
        <v>7.2</v>
      </c>
      <c r="G74" s="14">
        <v>29.8</v>
      </c>
      <c r="H74" s="14">
        <v>210.32</v>
      </c>
      <c r="I74" s="92">
        <v>26.32</v>
      </c>
      <c r="J74" s="92">
        <v>64.8</v>
      </c>
      <c r="K74" s="92">
        <v>119.2</v>
      </c>
      <c r="L74" s="92">
        <v>210.32</v>
      </c>
      <c r="M74" s="101"/>
      <c r="N74" s="101"/>
      <c r="O74" s="101"/>
      <c r="R74" s="11">
        <v>8.36</v>
      </c>
    </row>
    <row r="75" spans="1:19" ht="18" customHeight="1">
      <c r="A75" s="65">
        <v>110</v>
      </c>
      <c r="B75" s="66" t="s">
        <v>41</v>
      </c>
      <c r="C75" s="62">
        <v>90</v>
      </c>
      <c r="D75" s="39">
        <v>30.5</v>
      </c>
      <c r="E75" s="32">
        <v>6.9</v>
      </c>
      <c r="F75" s="32">
        <v>10.1</v>
      </c>
      <c r="G75" s="32">
        <v>8.6999999999999993</v>
      </c>
      <c r="H75" s="32">
        <v>153.30000000000001</v>
      </c>
      <c r="I75" s="92">
        <v>27.6</v>
      </c>
      <c r="J75" s="92">
        <v>90.899999999999991</v>
      </c>
      <c r="K75" s="92">
        <v>34.799999999999997</v>
      </c>
      <c r="L75" s="92">
        <v>153.30000000000001</v>
      </c>
      <c r="M75" s="103"/>
      <c r="N75" s="103"/>
      <c r="O75" s="103"/>
      <c r="R75" s="11">
        <v>11.8</v>
      </c>
    </row>
    <row r="76" spans="1:19" s="8" customFormat="1" ht="18" customHeight="1">
      <c r="A76" s="46">
        <v>227</v>
      </c>
      <c r="B76" s="33" t="s">
        <v>40</v>
      </c>
      <c r="C76" s="62">
        <v>150</v>
      </c>
      <c r="D76" s="39">
        <v>12</v>
      </c>
      <c r="E76" s="32">
        <v>6.6666666666666696</v>
      </c>
      <c r="F76" s="32">
        <v>5.8666666666666671</v>
      </c>
      <c r="G76" s="32">
        <v>25.3333333333333</v>
      </c>
      <c r="H76" s="32">
        <v>180.8</v>
      </c>
      <c r="I76" s="92">
        <v>26.666666666666679</v>
      </c>
      <c r="J76" s="92">
        <v>52.800000000000004</v>
      </c>
      <c r="K76" s="92">
        <v>101.3333333333332</v>
      </c>
      <c r="L76" s="92">
        <v>180.7999999999999</v>
      </c>
      <c r="M76" s="103"/>
      <c r="N76" s="103"/>
      <c r="O76" s="103"/>
      <c r="P76" s="11"/>
      <c r="Q76" s="11"/>
      <c r="R76" s="11">
        <v>8.77</v>
      </c>
      <c r="S76" s="11"/>
    </row>
    <row r="77" spans="1:19" s="8" customFormat="1" ht="18" customHeight="1">
      <c r="A77" s="46">
        <v>491</v>
      </c>
      <c r="B77" s="4" t="s">
        <v>29</v>
      </c>
      <c r="C77" s="52">
        <v>200</v>
      </c>
      <c r="D77" s="42">
        <v>10</v>
      </c>
      <c r="E77" s="67">
        <v>0.17</v>
      </c>
      <c r="F77" s="67">
        <v>0.04</v>
      </c>
      <c r="G77" s="67">
        <v>24.1</v>
      </c>
      <c r="H77" s="67">
        <v>97.44</v>
      </c>
      <c r="I77" s="92">
        <v>0.68</v>
      </c>
      <c r="J77" s="92">
        <v>0.36</v>
      </c>
      <c r="K77" s="92">
        <v>96.4</v>
      </c>
      <c r="L77" s="92">
        <v>97.440000000000012</v>
      </c>
      <c r="M77" s="106"/>
      <c r="N77" s="106"/>
      <c r="O77" s="106"/>
      <c r="P77" s="8">
        <v>6.17</v>
      </c>
      <c r="Q77" s="8">
        <v>0.84</v>
      </c>
      <c r="R77" s="8">
        <v>4.95</v>
      </c>
    </row>
    <row r="78" spans="1:19" ht="18" customHeight="1">
      <c r="A78" s="49" t="s">
        <v>44</v>
      </c>
      <c r="B78" s="4" t="s">
        <v>5</v>
      </c>
      <c r="C78" s="52">
        <v>40</v>
      </c>
      <c r="D78" s="42">
        <v>3.54</v>
      </c>
      <c r="E78" s="2">
        <v>1.98</v>
      </c>
      <c r="F78" s="53">
        <v>0.36</v>
      </c>
      <c r="G78" s="2">
        <v>10.02</v>
      </c>
      <c r="H78" s="2">
        <v>51.24</v>
      </c>
      <c r="I78" s="92">
        <v>7.92</v>
      </c>
      <c r="J78" s="92">
        <v>3.2399999999999998</v>
      </c>
      <c r="K78" s="92">
        <v>40.08</v>
      </c>
      <c r="L78" s="92">
        <v>51.239999999999995</v>
      </c>
      <c r="M78" s="85"/>
      <c r="N78" s="85"/>
      <c r="O78" s="85"/>
      <c r="P78" s="8"/>
      <c r="Q78" s="8"/>
      <c r="R78" s="8">
        <v>1.57</v>
      </c>
      <c r="S78" s="8"/>
    </row>
    <row r="79" spans="1:19" ht="18" customHeight="1">
      <c r="A79" s="46"/>
      <c r="B79" s="9" t="s">
        <v>22</v>
      </c>
      <c r="C79" s="51">
        <v>700</v>
      </c>
      <c r="D79" s="36">
        <v>71.540000000000006</v>
      </c>
      <c r="E79" s="5">
        <v>22.29666666666667</v>
      </c>
      <c r="F79" s="5">
        <v>23.566666666666666</v>
      </c>
      <c r="G79" s="5">
        <v>97.953333333333305</v>
      </c>
      <c r="H79" s="5">
        <v>693.10000000000014</v>
      </c>
      <c r="I79" s="37">
        <v>23.1</v>
      </c>
      <c r="J79" s="37">
        <v>23.700000000000003</v>
      </c>
      <c r="K79" s="37">
        <v>100.5</v>
      </c>
      <c r="L79" s="37">
        <v>705</v>
      </c>
      <c r="M79" s="10"/>
      <c r="N79" s="10"/>
      <c r="O79" s="10"/>
      <c r="P79" s="89">
        <v>0</v>
      </c>
      <c r="R79" s="11">
        <v>35.450000000000003</v>
      </c>
    </row>
    <row r="80" spans="1:19" ht="18" customHeight="1">
      <c r="A80" s="48"/>
      <c r="B80" s="3" t="s">
        <v>9</v>
      </c>
      <c r="C80" s="51"/>
      <c r="D80" s="36"/>
      <c r="E80" s="6">
        <v>37.506666666666675</v>
      </c>
      <c r="F80" s="6">
        <v>39.366666666666667</v>
      </c>
      <c r="G80" s="6">
        <v>165.1033333333333</v>
      </c>
      <c r="H80" s="6">
        <v>1164.5400000000002</v>
      </c>
      <c r="I80" s="97">
        <v>0.80333333333333101</v>
      </c>
      <c r="J80" s="97">
        <v>0.13333333333333641</v>
      </c>
      <c r="K80" s="97">
        <v>2.5466666666666953</v>
      </c>
      <c r="L80" s="97"/>
      <c r="M80" s="97"/>
      <c r="N80" s="97"/>
      <c r="O80" s="97"/>
    </row>
    <row r="81" spans="1:19" ht="18" customHeight="1">
      <c r="A81" s="117" t="s">
        <v>82</v>
      </c>
      <c r="B81" s="118"/>
      <c r="C81" s="54"/>
      <c r="D81" s="23"/>
      <c r="E81" s="23"/>
      <c r="F81" s="23"/>
      <c r="G81" s="23"/>
      <c r="H81" s="23"/>
      <c r="I81" s="18"/>
      <c r="J81" s="18"/>
      <c r="K81" s="18"/>
      <c r="L81" s="18"/>
      <c r="M81" s="18"/>
      <c r="N81" s="18"/>
      <c r="O81" s="18"/>
    </row>
    <row r="82" spans="1:19" ht="18" customHeight="1">
      <c r="A82" s="113" t="s">
        <v>12</v>
      </c>
      <c r="B82" s="113"/>
      <c r="C82" s="45"/>
      <c r="D82" s="37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1:19" ht="18" customHeight="1">
      <c r="A83" s="46">
        <v>208</v>
      </c>
      <c r="B83" s="4" t="s">
        <v>65</v>
      </c>
      <c r="C83" s="52">
        <v>250</v>
      </c>
      <c r="D83" s="42">
        <v>30</v>
      </c>
      <c r="E83" s="17">
        <v>10.131604938271609</v>
      </c>
      <c r="F83" s="17">
        <v>12.744938271604934</v>
      </c>
      <c r="G83" s="17">
        <v>37.606913580246896</v>
      </c>
      <c r="H83" s="77">
        <v>305.66000000000003</v>
      </c>
      <c r="I83" s="92">
        <v>40.526419753086437</v>
      </c>
      <c r="J83" s="92">
        <v>114.70444444444441</v>
      </c>
      <c r="K83" s="92">
        <v>150.42765432098759</v>
      </c>
      <c r="L83" s="92">
        <v>305.65851851851846</v>
      </c>
      <c r="M83" s="102"/>
      <c r="N83" s="102"/>
      <c r="O83" s="102"/>
      <c r="R83" s="11">
        <v>11.27</v>
      </c>
      <c r="S83" s="11">
        <v>9.0159999999999982</v>
      </c>
    </row>
    <row r="84" spans="1:19" ht="18" customHeight="1">
      <c r="A84" s="46">
        <v>304</v>
      </c>
      <c r="B84" s="2" t="s">
        <v>38</v>
      </c>
      <c r="C84" s="52">
        <v>200</v>
      </c>
      <c r="D84" s="42">
        <v>17.54</v>
      </c>
      <c r="E84" s="4">
        <v>2.9</v>
      </c>
      <c r="F84" s="4">
        <v>2.8</v>
      </c>
      <c r="G84" s="4">
        <v>14.9</v>
      </c>
      <c r="H84" s="4">
        <v>94</v>
      </c>
      <c r="I84" s="92">
        <v>11.6</v>
      </c>
      <c r="J84" s="92">
        <v>25.2</v>
      </c>
      <c r="K84" s="92">
        <v>59.6</v>
      </c>
      <c r="L84" s="92">
        <v>96.4</v>
      </c>
      <c r="M84" s="84"/>
      <c r="N84" s="84"/>
      <c r="O84" s="84"/>
      <c r="R84" s="11">
        <v>7.34</v>
      </c>
    </row>
    <row r="85" spans="1:19" ht="15.75">
      <c r="A85" s="49" t="s">
        <v>43</v>
      </c>
      <c r="B85" s="4" t="s">
        <v>71</v>
      </c>
      <c r="C85" s="52">
        <v>50</v>
      </c>
      <c r="D85" s="21">
        <v>24</v>
      </c>
      <c r="E85" s="4">
        <v>2.37</v>
      </c>
      <c r="F85" s="4">
        <v>0.3</v>
      </c>
      <c r="G85" s="4">
        <v>14.49</v>
      </c>
      <c r="H85" s="4">
        <v>70.14</v>
      </c>
      <c r="I85" s="92">
        <v>9.48</v>
      </c>
      <c r="J85" s="92">
        <v>2.6999999999999997</v>
      </c>
      <c r="K85" s="92">
        <v>57.96</v>
      </c>
      <c r="L85" s="92">
        <v>70.14</v>
      </c>
      <c r="M85" s="84"/>
      <c r="N85" s="84"/>
      <c r="O85" s="84"/>
      <c r="P85" s="11">
        <v>3.5449999999999999</v>
      </c>
      <c r="R85" s="11">
        <v>3.95</v>
      </c>
    </row>
    <row r="86" spans="1:19" ht="18" customHeight="1">
      <c r="A86" s="46"/>
      <c r="B86" s="9" t="s">
        <v>22</v>
      </c>
      <c r="C86" s="51">
        <v>500</v>
      </c>
      <c r="D86" s="36">
        <v>71.539999999999992</v>
      </c>
      <c r="E86" s="36">
        <v>15.40160493827161</v>
      </c>
      <c r="F86" s="36">
        <v>15.844938271604935</v>
      </c>
      <c r="G86" s="36">
        <v>66.996913580246897</v>
      </c>
      <c r="H86" s="36">
        <v>469.8</v>
      </c>
      <c r="I86" s="37">
        <v>15.4</v>
      </c>
      <c r="J86" s="37">
        <v>15.8</v>
      </c>
      <c r="K86" s="37">
        <v>67</v>
      </c>
      <c r="L86" s="37">
        <v>470</v>
      </c>
      <c r="M86" s="37"/>
      <c r="N86" s="37"/>
      <c r="O86" s="37"/>
      <c r="P86" s="11">
        <v>20.740000000000009</v>
      </c>
      <c r="R86" s="11">
        <v>22.56</v>
      </c>
    </row>
    <row r="87" spans="1:19" ht="18" customHeight="1">
      <c r="A87" s="111" t="s">
        <v>11</v>
      </c>
      <c r="B87" s="112"/>
      <c r="C87" s="35"/>
      <c r="D87" s="37"/>
      <c r="E87" s="18"/>
      <c r="F87" s="18"/>
      <c r="G87" s="18"/>
      <c r="H87" s="18"/>
      <c r="I87" s="97"/>
      <c r="J87" s="18"/>
      <c r="K87" s="18"/>
      <c r="L87" s="18"/>
      <c r="M87" s="18"/>
      <c r="N87" s="18"/>
      <c r="O87" s="18"/>
    </row>
    <row r="88" spans="1:19" ht="18" customHeight="1">
      <c r="A88" s="46">
        <v>122</v>
      </c>
      <c r="B88" s="110" t="s">
        <v>70</v>
      </c>
      <c r="C88" s="30">
        <v>250</v>
      </c>
      <c r="D88" s="21">
        <v>15.65</v>
      </c>
      <c r="E88" s="16">
        <v>6.6499999999999995</v>
      </c>
      <c r="F88" s="16">
        <v>6.8699999999999992</v>
      </c>
      <c r="G88" s="16">
        <v>44.8</v>
      </c>
      <c r="H88" s="4">
        <v>267.63</v>
      </c>
      <c r="I88" s="92">
        <v>26.599999999999998</v>
      </c>
      <c r="J88" s="92">
        <v>61.829999999999991</v>
      </c>
      <c r="K88" s="92">
        <v>179.2</v>
      </c>
      <c r="L88" s="92">
        <v>267.63</v>
      </c>
      <c r="M88" s="84"/>
      <c r="N88" s="84"/>
      <c r="O88" s="84"/>
      <c r="R88" s="11">
        <v>16.34</v>
      </c>
    </row>
    <row r="89" spans="1:19" ht="18" customHeight="1">
      <c r="A89" s="46">
        <v>158</v>
      </c>
      <c r="B89" s="26" t="s">
        <v>62</v>
      </c>
      <c r="C89" s="58">
        <v>220</v>
      </c>
      <c r="D89" s="42">
        <v>44.352000000000004</v>
      </c>
      <c r="E89" s="14">
        <v>12.65</v>
      </c>
      <c r="F89" s="19">
        <v>16.133333333333333</v>
      </c>
      <c r="G89" s="19">
        <v>15.06</v>
      </c>
      <c r="H89" s="15">
        <v>256.04000000000002</v>
      </c>
      <c r="I89" s="92">
        <v>50.6</v>
      </c>
      <c r="J89" s="92">
        <v>145.19999999999999</v>
      </c>
      <c r="K89" s="92">
        <v>60.24</v>
      </c>
      <c r="L89" s="92">
        <v>256.03999999999996</v>
      </c>
      <c r="M89" s="94"/>
      <c r="N89" s="94"/>
      <c r="O89" s="94"/>
      <c r="R89" s="11">
        <v>20.16</v>
      </c>
    </row>
    <row r="90" spans="1:19" s="8" customFormat="1" ht="18" customHeight="1">
      <c r="A90" s="46">
        <v>310</v>
      </c>
      <c r="B90" s="4" t="s">
        <v>34</v>
      </c>
      <c r="C90" s="52">
        <v>200</v>
      </c>
      <c r="D90" s="21">
        <v>8</v>
      </c>
      <c r="E90" s="22">
        <v>0.5</v>
      </c>
      <c r="F90" s="22">
        <v>0.1</v>
      </c>
      <c r="G90" s="22">
        <v>23.9</v>
      </c>
      <c r="H90" s="22">
        <v>98.5</v>
      </c>
      <c r="I90" s="92">
        <v>2</v>
      </c>
      <c r="J90" s="92">
        <v>0.9</v>
      </c>
      <c r="K90" s="92">
        <v>95.6</v>
      </c>
      <c r="L90" s="92">
        <v>98.5</v>
      </c>
      <c r="M90" s="95"/>
      <c r="N90" s="95"/>
      <c r="O90" s="95"/>
      <c r="P90" s="11"/>
      <c r="Q90" s="11"/>
      <c r="R90" s="11">
        <v>3</v>
      </c>
      <c r="S90" s="11"/>
    </row>
    <row r="91" spans="1:19" ht="18" customHeight="1">
      <c r="A91" s="49" t="s">
        <v>44</v>
      </c>
      <c r="B91" s="4" t="s">
        <v>5</v>
      </c>
      <c r="C91" s="52">
        <v>30</v>
      </c>
      <c r="D91" s="42">
        <v>3.54</v>
      </c>
      <c r="E91" s="2">
        <v>3.3000000000000003</v>
      </c>
      <c r="F91" s="2">
        <v>0.6</v>
      </c>
      <c r="G91" s="2">
        <v>16.7</v>
      </c>
      <c r="H91" s="2">
        <v>85.399999999999991</v>
      </c>
      <c r="I91" s="92">
        <v>13.200000000000001</v>
      </c>
      <c r="J91" s="92">
        <v>5.3999999999999995</v>
      </c>
      <c r="K91" s="92">
        <v>66.8</v>
      </c>
      <c r="L91" s="92">
        <v>85.4</v>
      </c>
      <c r="M91" s="85"/>
      <c r="N91" s="85"/>
      <c r="O91" s="85"/>
      <c r="P91" s="8"/>
      <c r="Q91" s="8"/>
      <c r="R91" s="8">
        <v>1.57</v>
      </c>
      <c r="S91" s="8"/>
    </row>
    <row r="92" spans="1:19" ht="18" customHeight="1">
      <c r="A92" s="48"/>
      <c r="B92" s="9" t="s">
        <v>22</v>
      </c>
      <c r="C92" s="51">
        <v>700</v>
      </c>
      <c r="D92" s="36">
        <v>71.542000000000016</v>
      </c>
      <c r="E92" s="36">
        <v>23.1</v>
      </c>
      <c r="F92" s="36">
        <v>23.703333333333333</v>
      </c>
      <c r="G92" s="36">
        <v>100.46</v>
      </c>
      <c r="H92" s="36">
        <v>707.57</v>
      </c>
      <c r="I92" s="37">
        <v>23.1</v>
      </c>
      <c r="J92" s="37">
        <v>23.700000000000003</v>
      </c>
      <c r="K92" s="37">
        <v>100.5</v>
      </c>
      <c r="L92" s="37">
        <v>705</v>
      </c>
      <c r="M92" s="37"/>
      <c r="N92" s="37"/>
      <c r="O92" s="37"/>
      <c r="P92" s="89"/>
      <c r="R92" s="11">
        <v>41.07</v>
      </c>
    </row>
    <row r="93" spans="1:19" ht="18" customHeight="1">
      <c r="A93" s="48"/>
      <c r="B93" s="3" t="s">
        <v>9</v>
      </c>
      <c r="C93" s="51"/>
      <c r="D93" s="36"/>
      <c r="E93" s="36">
        <v>38.501604938271612</v>
      </c>
      <c r="F93" s="36">
        <v>39.548271604938265</v>
      </c>
      <c r="G93" s="36">
        <v>167.45691358024689</v>
      </c>
      <c r="H93" s="36">
        <v>1177.3700000000001</v>
      </c>
      <c r="I93" s="37">
        <v>0</v>
      </c>
      <c r="J93" s="37">
        <v>-3.3333333333303017E-3</v>
      </c>
      <c r="K93" s="37">
        <v>4.0000000000006253E-2</v>
      </c>
      <c r="L93" s="37"/>
      <c r="M93" s="37"/>
      <c r="N93" s="37"/>
      <c r="O93" s="37"/>
    </row>
    <row r="94" spans="1:19" ht="18" customHeight="1">
      <c r="A94" s="117" t="s">
        <v>55</v>
      </c>
      <c r="B94" s="118"/>
      <c r="C94" s="54"/>
      <c r="D94" s="23"/>
      <c r="E94" s="23"/>
      <c r="F94" s="23"/>
      <c r="G94" s="23"/>
      <c r="H94" s="23"/>
      <c r="I94" s="18"/>
      <c r="J94" s="18"/>
      <c r="K94" s="18"/>
      <c r="L94" s="18"/>
      <c r="M94" s="18"/>
      <c r="N94" s="18"/>
      <c r="O94" s="18"/>
    </row>
    <row r="95" spans="1:19" ht="18" customHeight="1">
      <c r="A95" s="113" t="s">
        <v>10</v>
      </c>
      <c r="B95" s="113"/>
      <c r="C95" s="45"/>
      <c r="D95" s="37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1:19" ht="18" customHeight="1">
      <c r="A96" s="46">
        <v>241</v>
      </c>
      <c r="B96" s="28" t="s">
        <v>77</v>
      </c>
      <c r="C96" s="52">
        <v>130</v>
      </c>
      <c r="D96" s="42">
        <v>41.2</v>
      </c>
      <c r="E96" s="4">
        <v>11.6</v>
      </c>
      <c r="F96" s="4">
        <v>15.2</v>
      </c>
      <c r="G96" s="4">
        <v>32.67</v>
      </c>
      <c r="H96" s="4">
        <v>313.88</v>
      </c>
      <c r="I96" s="92">
        <v>46.4</v>
      </c>
      <c r="J96" s="92">
        <v>136.79999999999998</v>
      </c>
      <c r="K96" s="92">
        <v>130.68</v>
      </c>
      <c r="L96" s="92">
        <v>313.88</v>
      </c>
      <c r="M96" s="84"/>
      <c r="N96" s="84"/>
      <c r="O96" s="84"/>
      <c r="P96" s="11">
        <v>19.354800000000001</v>
      </c>
      <c r="Q96" s="11">
        <v>2.64</v>
      </c>
      <c r="R96" s="11">
        <v>22</v>
      </c>
    </row>
    <row r="97" spans="1:19" ht="18" customHeight="1">
      <c r="A97" s="49" t="s">
        <v>43</v>
      </c>
      <c r="B97" s="4" t="s">
        <v>0</v>
      </c>
      <c r="C97" s="52">
        <v>40</v>
      </c>
      <c r="D97" s="21">
        <v>3.54</v>
      </c>
      <c r="E97" s="4">
        <v>2.37</v>
      </c>
      <c r="F97" s="4">
        <v>0.3</v>
      </c>
      <c r="G97" s="4">
        <v>14.49</v>
      </c>
      <c r="H97" s="4">
        <v>70.14</v>
      </c>
      <c r="I97" s="92">
        <v>9.48</v>
      </c>
      <c r="J97" s="92">
        <v>2.6999999999999997</v>
      </c>
      <c r="K97" s="92">
        <v>57.96</v>
      </c>
      <c r="L97" s="92">
        <v>70.14</v>
      </c>
      <c r="M97" s="84"/>
      <c r="N97" s="84"/>
      <c r="O97" s="84"/>
      <c r="R97" s="11">
        <v>1.57</v>
      </c>
    </row>
    <row r="98" spans="1:19" ht="18" customHeight="1">
      <c r="A98" s="46">
        <v>307</v>
      </c>
      <c r="B98" s="26" t="s">
        <v>61</v>
      </c>
      <c r="C98" s="57">
        <v>200</v>
      </c>
      <c r="D98" s="21">
        <v>3.4</v>
      </c>
      <c r="E98" s="4">
        <v>0.1</v>
      </c>
      <c r="F98" s="4">
        <v>0</v>
      </c>
      <c r="G98" s="4">
        <v>15.2</v>
      </c>
      <c r="H98" s="78">
        <v>61</v>
      </c>
      <c r="I98" s="92">
        <v>0.4</v>
      </c>
      <c r="J98" s="92">
        <v>0</v>
      </c>
      <c r="K98" s="92">
        <v>60.8</v>
      </c>
      <c r="L98" s="92">
        <v>61.199999999999996</v>
      </c>
      <c r="M98" s="98"/>
      <c r="N98" s="98"/>
      <c r="O98" s="98"/>
      <c r="R98" s="11">
        <v>4.45</v>
      </c>
    </row>
    <row r="99" spans="1:19" ht="18" customHeight="1">
      <c r="A99" s="46" t="s">
        <v>42</v>
      </c>
      <c r="B99" s="14" t="s">
        <v>39</v>
      </c>
      <c r="C99" s="31">
        <v>130</v>
      </c>
      <c r="D99" s="42">
        <v>23.4</v>
      </c>
      <c r="E99" s="17">
        <v>1.8225000000000005</v>
      </c>
      <c r="F99" s="17">
        <v>0.40500000000000003</v>
      </c>
      <c r="G99" s="17">
        <v>4.6425000000000001</v>
      </c>
      <c r="H99" s="17">
        <v>29.51</v>
      </c>
      <c r="I99" s="92">
        <v>7.2900000000000018</v>
      </c>
      <c r="J99" s="92">
        <v>3.6450000000000005</v>
      </c>
      <c r="K99" s="92">
        <v>18.57</v>
      </c>
      <c r="L99" s="92">
        <v>29.505000000000003</v>
      </c>
      <c r="M99" s="92"/>
      <c r="N99" s="92"/>
      <c r="O99" s="92"/>
      <c r="R99" s="11">
        <v>10.119999999999999</v>
      </c>
    </row>
    <row r="100" spans="1:19" ht="37.5" customHeight="1">
      <c r="A100" s="48"/>
      <c r="B100" s="9" t="s">
        <v>22</v>
      </c>
      <c r="C100" s="51">
        <v>500</v>
      </c>
      <c r="D100" s="36">
        <v>71.539999999999992</v>
      </c>
      <c r="E100" s="36">
        <v>15.892499999999998</v>
      </c>
      <c r="F100" s="36">
        <v>15.904999999999999</v>
      </c>
      <c r="G100" s="36">
        <v>67.002499999999998</v>
      </c>
      <c r="H100" s="36">
        <v>474.53</v>
      </c>
      <c r="I100" s="37">
        <v>15.4</v>
      </c>
      <c r="J100" s="37">
        <v>15.8</v>
      </c>
      <c r="K100" s="37">
        <v>67</v>
      </c>
      <c r="L100" s="37">
        <v>470</v>
      </c>
      <c r="M100" s="37"/>
      <c r="N100" s="37"/>
      <c r="O100" s="37"/>
      <c r="P100" s="11">
        <v>71.540000000000006</v>
      </c>
      <c r="Q100" s="89">
        <v>0</v>
      </c>
      <c r="R100" s="11">
        <v>38.14</v>
      </c>
    </row>
    <row r="101" spans="1:19" ht="18" customHeight="1">
      <c r="A101" s="112" t="s">
        <v>11</v>
      </c>
      <c r="B101" s="112"/>
      <c r="C101" s="35"/>
      <c r="D101" s="37"/>
      <c r="E101" s="18"/>
      <c r="F101" s="18"/>
      <c r="G101" s="18"/>
      <c r="H101" s="18"/>
      <c r="I101" s="18"/>
      <c r="J101" s="97">
        <v>-0.10499999999999865</v>
      </c>
      <c r="K101" s="97">
        <v>-2.4999999999977263E-3</v>
      </c>
      <c r="L101" s="18"/>
      <c r="M101" s="18"/>
      <c r="N101" s="18"/>
      <c r="O101" s="18"/>
    </row>
    <row r="102" spans="1:19" ht="18" customHeight="1">
      <c r="A102" s="46">
        <v>55</v>
      </c>
      <c r="B102" s="14" t="s">
        <v>49</v>
      </c>
      <c r="C102" s="58">
        <v>230</v>
      </c>
      <c r="D102" s="42">
        <v>13.5</v>
      </c>
      <c r="E102" s="19">
        <v>8.25</v>
      </c>
      <c r="F102" s="19">
        <v>6.6999999999999993</v>
      </c>
      <c r="G102" s="19">
        <v>27.8</v>
      </c>
      <c r="H102" s="19">
        <v>204.5</v>
      </c>
      <c r="I102" s="92">
        <v>33</v>
      </c>
      <c r="J102" s="92">
        <v>60.3</v>
      </c>
      <c r="K102" s="92">
        <v>111.2</v>
      </c>
      <c r="L102" s="92">
        <v>204.5</v>
      </c>
      <c r="M102" s="99"/>
      <c r="N102" s="99"/>
      <c r="O102" s="99"/>
      <c r="R102" s="11">
        <v>8.42</v>
      </c>
    </row>
    <row r="103" spans="1:19" ht="18" customHeight="1">
      <c r="A103" s="46">
        <v>99</v>
      </c>
      <c r="B103" s="26" t="s">
        <v>36</v>
      </c>
      <c r="C103" s="58">
        <v>90</v>
      </c>
      <c r="D103" s="21">
        <v>32</v>
      </c>
      <c r="E103" s="14">
        <v>8</v>
      </c>
      <c r="F103" s="14">
        <v>8.1999999999999993</v>
      </c>
      <c r="G103" s="14">
        <v>10.6</v>
      </c>
      <c r="H103" s="15">
        <v>148.19999999999999</v>
      </c>
      <c r="I103" s="92">
        <v>32</v>
      </c>
      <c r="J103" s="92">
        <v>73.8</v>
      </c>
      <c r="K103" s="92">
        <v>42.4</v>
      </c>
      <c r="L103" s="92">
        <v>148.19999999999999</v>
      </c>
      <c r="M103" s="95"/>
      <c r="N103" s="95"/>
      <c r="O103" s="95"/>
      <c r="R103" s="11">
        <v>12.6</v>
      </c>
    </row>
    <row r="104" spans="1:19" s="8" customFormat="1" ht="18" customHeight="1">
      <c r="A104" s="46">
        <v>146</v>
      </c>
      <c r="B104" s="4" t="s">
        <v>27</v>
      </c>
      <c r="C104" s="52">
        <v>150</v>
      </c>
      <c r="D104" s="42">
        <v>15</v>
      </c>
      <c r="E104" s="22">
        <v>4.0999999999999996</v>
      </c>
      <c r="F104" s="22">
        <v>6.3</v>
      </c>
      <c r="G104" s="22">
        <v>34.200000000000003</v>
      </c>
      <c r="H104" s="22">
        <v>209.9</v>
      </c>
      <c r="I104" s="92">
        <v>16.399999999999999</v>
      </c>
      <c r="J104" s="92">
        <v>56.699999999999996</v>
      </c>
      <c r="K104" s="92">
        <v>136.80000000000001</v>
      </c>
      <c r="L104" s="92">
        <v>209.9</v>
      </c>
      <c r="M104" s="95"/>
      <c r="N104" s="95"/>
      <c r="O104" s="95"/>
      <c r="P104" s="11"/>
      <c r="Q104" s="11"/>
      <c r="R104" s="11">
        <v>10</v>
      </c>
      <c r="S104" s="11"/>
    </row>
    <row r="105" spans="1:19" s="8" customFormat="1" ht="18" customHeight="1">
      <c r="A105" s="46">
        <v>311</v>
      </c>
      <c r="B105" s="13" t="s">
        <v>28</v>
      </c>
      <c r="C105" s="31">
        <v>200</v>
      </c>
      <c r="D105" s="21">
        <v>7.5</v>
      </c>
      <c r="E105" s="22">
        <v>0.2</v>
      </c>
      <c r="F105" s="22">
        <v>0.1</v>
      </c>
      <c r="G105" s="22">
        <v>17.2</v>
      </c>
      <c r="H105" s="13">
        <v>70</v>
      </c>
      <c r="I105" s="92">
        <v>0.8</v>
      </c>
      <c r="J105" s="92">
        <v>0.9</v>
      </c>
      <c r="K105" s="92">
        <v>68.8</v>
      </c>
      <c r="L105" s="92">
        <v>70.5</v>
      </c>
      <c r="M105" s="86"/>
      <c r="N105" s="86"/>
      <c r="O105" s="86"/>
      <c r="R105" s="8">
        <v>3.4</v>
      </c>
    </row>
    <row r="106" spans="1:19" ht="18" customHeight="1">
      <c r="A106" s="49" t="s">
        <v>44</v>
      </c>
      <c r="B106" s="4" t="s">
        <v>5</v>
      </c>
      <c r="C106" s="52">
        <v>30</v>
      </c>
      <c r="D106" s="42">
        <v>3.54</v>
      </c>
      <c r="E106" s="2">
        <v>1.98</v>
      </c>
      <c r="F106" s="53">
        <v>0.36</v>
      </c>
      <c r="G106" s="2">
        <v>10.02</v>
      </c>
      <c r="H106" s="2">
        <v>51.24</v>
      </c>
      <c r="I106" s="92">
        <v>7.92</v>
      </c>
      <c r="J106" s="92">
        <v>3.2399999999999998</v>
      </c>
      <c r="K106" s="92">
        <v>40.08</v>
      </c>
      <c r="L106" s="92">
        <v>51.239999999999995</v>
      </c>
      <c r="M106" s="85"/>
      <c r="N106" s="85"/>
      <c r="O106" s="85"/>
      <c r="P106" s="8"/>
      <c r="Q106" s="8"/>
      <c r="R106" s="8">
        <v>1.57</v>
      </c>
      <c r="S106" s="8"/>
    </row>
    <row r="107" spans="1:19" ht="18" customHeight="1">
      <c r="A107" s="48"/>
      <c r="B107" s="9" t="s">
        <v>22</v>
      </c>
      <c r="C107" s="51">
        <v>700</v>
      </c>
      <c r="D107" s="87">
        <v>71.540000000000006</v>
      </c>
      <c r="E107" s="81">
        <v>22.53</v>
      </c>
      <c r="F107" s="81">
        <v>21.66</v>
      </c>
      <c r="G107" s="81">
        <v>99.82</v>
      </c>
      <c r="H107" s="81">
        <v>683.84</v>
      </c>
      <c r="I107" s="37">
        <v>23.1</v>
      </c>
      <c r="J107" s="37">
        <v>23.700000000000003</v>
      </c>
      <c r="K107" s="37">
        <v>100.5</v>
      </c>
      <c r="L107" s="37">
        <v>705</v>
      </c>
      <c r="M107" s="107"/>
      <c r="N107" s="107"/>
      <c r="O107" s="107"/>
      <c r="P107" s="11">
        <v>71.540000000000006</v>
      </c>
      <c r="Q107" s="90">
        <v>0</v>
      </c>
      <c r="R107" s="11">
        <v>35.99</v>
      </c>
    </row>
    <row r="108" spans="1:19" ht="18" customHeight="1">
      <c r="A108" s="48"/>
      <c r="B108" s="3" t="s">
        <v>9</v>
      </c>
      <c r="C108" s="51"/>
      <c r="D108" s="36"/>
      <c r="E108" s="36">
        <v>38.422499999999999</v>
      </c>
      <c r="F108" s="36">
        <v>37.564999999999998</v>
      </c>
      <c r="G108" s="36">
        <v>166.82249999999999</v>
      </c>
      <c r="H108" s="36">
        <v>1158.3699999999999</v>
      </c>
      <c r="I108" s="37"/>
      <c r="J108" s="37"/>
      <c r="K108" s="37"/>
      <c r="L108" s="37"/>
      <c r="M108" s="37"/>
      <c r="N108" s="37"/>
      <c r="O108" s="37"/>
    </row>
    <row r="109" spans="1:19" ht="18" customHeight="1">
      <c r="A109" s="117" t="s">
        <v>56</v>
      </c>
      <c r="B109" s="118"/>
      <c r="C109" s="54"/>
      <c r="D109" s="23"/>
      <c r="E109" s="23"/>
      <c r="F109" s="23"/>
      <c r="G109" s="23"/>
      <c r="H109" s="23"/>
      <c r="I109" s="18"/>
      <c r="J109" s="18"/>
      <c r="K109" s="18"/>
      <c r="L109" s="18"/>
      <c r="M109" s="18"/>
      <c r="N109" s="18"/>
      <c r="O109" s="18"/>
    </row>
    <row r="110" spans="1:19" ht="18" customHeight="1">
      <c r="A110" s="113" t="s">
        <v>12</v>
      </c>
      <c r="B110" s="113"/>
      <c r="C110" s="45"/>
      <c r="D110" s="37"/>
      <c r="E110" s="10"/>
      <c r="F110" s="10"/>
      <c r="G110" s="10"/>
      <c r="H110" s="18"/>
      <c r="I110" s="18"/>
      <c r="J110" s="18"/>
      <c r="K110" s="18"/>
      <c r="L110" s="18"/>
      <c r="M110" s="18"/>
      <c r="N110" s="18"/>
      <c r="O110" s="18"/>
    </row>
    <row r="111" spans="1:19" ht="18" customHeight="1">
      <c r="A111" s="46">
        <v>107</v>
      </c>
      <c r="B111" s="25" t="s">
        <v>50</v>
      </c>
      <c r="C111" s="57">
        <v>90</v>
      </c>
      <c r="D111" s="21">
        <v>41.6</v>
      </c>
      <c r="E111" s="22">
        <v>9.82</v>
      </c>
      <c r="F111" s="22">
        <v>10.039999999999999</v>
      </c>
      <c r="G111" s="22">
        <v>10.780000000000001</v>
      </c>
      <c r="H111" s="22">
        <v>172.76</v>
      </c>
      <c r="I111" s="92">
        <v>39.28</v>
      </c>
      <c r="J111" s="92">
        <v>90.359999999999985</v>
      </c>
      <c r="K111" s="92">
        <v>43.120000000000005</v>
      </c>
      <c r="L111" s="92">
        <v>172.76</v>
      </c>
      <c r="M111" s="103"/>
      <c r="N111" s="103"/>
      <c r="O111" s="103"/>
      <c r="R111" s="11">
        <v>9.8000000000000007</v>
      </c>
    </row>
    <row r="112" spans="1:19" s="8" customFormat="1" ht="18" customHeight="1">
      <c r="A112" s="46">
        <v>227</v>
      </c>
      <c r="B112" s="26" t="s">
        <v>20</v>
      </c>
      <c r="C112" s="57">
        <v>180</v>
      </c>
      <c r="D112" s="42">
        <v>19.899999999999999</v>
      </c>
      <c r="E112" s="17">
        <v>5.26</v>
      </c>
      <c r="F112" s="17">
        <v>4.28</v>
      </c>
      <c r="G112" s="17">
        <v>27.64</v>
      </c>
      <c r="H112" s="17">
        <v>170.12</v>
      </c>
      <c r="I112" s="92">
        <v>21.04</v>
      </c>
      <c r="J112" s="92">
        <v>38.520000000000003</v>
      </c>
      <c r="K112" s="92">
        <v>110.56</v>
      </c>
      <c r="L112" s="92">
        <v>170.12</v>
      </c>
      <c r="M112" s="92"/>
      <c r="N112" s="92"/>
      <c r="O112" s="92"/>
      <c r="P112" s="11"/>
      <c r="Q112" s="11"/>
      <c r="R112" s="11">
        <v>8.77</v>
      </c>
      <c r="S112" s="11"/>
    </row>
    <row r="113" spans="1:30" ht="18" customHeight="1">
      <c r="A113" s="46">
        <v>300</v>
      </c>
      <c r="B113" s="26" t="s">
        <v>78</v>
      </c>
      <c r="C113" s="52">
        <v>200</v>
      </c>
      <c r="D113" s="21">
        <v>3.5</v>
      </c>
      <c r="E113" s="4">
        <v>0.1</v>
      </c>
      <c r="F113" s="4">
        <v>0</v>
      </c>
      <c r="G113" s="4">
        <v>15.2</v>
      </c>
      <c r="H113" s="4">
        <v>61</v>
      </c>
      <c r="I113" s="92">
        <v>0.4</v>
      </c>
      <c r="J113" s="92">
        <v>0</v>
      </c>
      <c r="K113" s="92">
        <v>60.8</v>
      </c>
      <c r="L113" s="92">
        <v>61.199999999999996</v>
      </c>
      <c r="M113" s="84"/>
      <c r="N113" s="84"/>
      <c r="O113" s="84"/>
      <c r="P113" s="8"/>
      <c r="Q113" s="8"/>
      <c r="R113" s="8">
        <v>2.16</v>
      </c>
      <c r="S113" s="8"/>
    </row>
    <row r="114" spans="1:30" ht="18" customHeight="1">
      <c r="A114" s="49" t="s">
        <v>43</v>
      </c>
      <c r="B114" s="4" t="s">
        <v>0</v>
      </c>
      <c r="C114" s="52">
        <v>30</v>
      </c>
      <c r="D114" s="21">
        <v>6.54</v>
      </c>
      <c r="E114" s="4">
        <v>2.37</v>
      </c>
      <c r="F114" s="4">
        <v>0.3</v>
      </c>
      <c r="G114" s="4">
        <v>14.49</v>
      </c>
      <c r="H114" s="4">
        <v>70.14</v>
      </c>
      <c r="I114" s="92">
        <v>9.48</v>
      </c>
      <c r="J114" s="92">
        <v>2.6999999999999997</v>
      </c>
      <c r="K114" s="92">
        <v>57.96</v>
      </c>
      <c r="L114" s="92">
        <v>70.14</v>
      </c>
      <c r="M114" s="84"/>
      <c r="N114" s="84"/>
      <c r="O114" s="84"/>
      <c r="R114" s="11">
        <v>1.57</v>
      </c>
    </row>
    <row r="115" spans="1:30" ht="18" customHeight="1">
      <c r="A115" s="48"/>
      <c r="B115" s="9" t="s">
        <v>22</v>
      </c>
      <c r="C115" s="51">
        <v>500</v>
      </c>
      <c r="D115" s="6">
        <v>71.540000000000006</v>
      </c>
      <c r="E115" s="5">
        <v>17.55</v>
      </c>
      <c r="F115" s="5">
        <v>14.620000000000001</v>
      </c>
      <c r="G115" s="5">
        <v>68.11</v>
      </c>
      <c r="H115" s="5">
        <v>474.02</v>
      </c>
      <c r="I115" s="37">
        <v>15.4</v>
      </c>
      <c r="J115" s="37">
        <v>15.8</v>
      </c>
      <c r="K115" s="37">
        <v>67</v>
      </c>
      <c r="L115" s="37">
        <v>470</v>
      </c>
      <c r="M115" s="10"/>
      <c r="N115" s="10"/>
      <c r="O115" s="10"/>
      <c r="P115" s="89">
        <v>0</v>
      </c>
      <c r="R115" s="11">
        <v>22.3</v>
      </c>
    </row>
    <row r="116" spans="1:30" ht="18" customHeight="1">
      <c r="A116" s="111" t="s">
        <v>11</v>
      </c>
      <c r="B116" s="112"/>
      <c r="C116" s="55"/>
      <c r="D116" s="37"/>
      <c r="E116" s="18"/>
      <c r="F116" s="18"/>
      <c r="G116" s="18"/>
      <c r="H116" s="18"/>
      <c r="I116" s="10">
        <v>2.1500000000000004</v>
      </c>
      <c r="J116" s="10">
        <v>-1.1799999999999997</v>
      </c>
      <c r="K116" s="10">
        <v>1.1099999999999994</v>
      </c>
      <c r="L116" s="18"/>
      <c r="M116" s="18"/>
      <c r="N116" s="18"/>
      <c r="O116" s="18"/>
    </row>
    <row r="117" spans="1:30" ht="18" customHeight="1">
      <c r="A117" s="46">
        <v>65</v>
      </c>
      <c r="B117" s="20" t="s">
        <v>66</v>
      </c>
      <c r="C117" s="57">
        <v>250</v>
      </c>
      <c r="D117" s="39">
        <v>16</v>
      </c>
      <c r="E117" s="13">
        <v>7.3</v>
      </c>
      <c r="F117" s="13">
        <v>7.4</v>
      </c>
      <c r="G117" s="13">
        <v>30.8</v>
      </c>
      <c r="H117" s="13">
        <v>219</v>
      </c>
      <c r="I117" s="92">
        <v>29.2</v>
      </c>
      <c r="J117" s="92">
        <v>66.600000000000009</v>
      </c>
      <c r="K117" s="92">
        <v>123.2</v>
      </c>
      <c r="L117" s="92">
        <v>219</v>
      </c>
      <c r="M117" s="86"/>
      <c r="N117" s="86"/>
      <c r="O117" s="86"/>
      <c r="R117" s="11">
        <v>9.1300000000000008</v>
      </c>
    </row>
    <row r="118" spans="1:30" ht="18" customHeight="1">
      <c r="A118" s="46">
        <v>96</v>
      </c>
      <c r="B118" s="1" t="s">
        <v>81</v>
      </c>
      <c r="C118" s="30">
        <v>70</v>
      </c>
      <c r="D118" s="21">
        <v>29.169999999999998</v>
      </c>
      <c r="E118" s="16">
        <v>10.02</v>
      </c>
      <c r="F118" s="16">
        <v>11.24</v>
      </c>
      <c r="G118" s="16">
        <v>7.1</v>
      </c>
      <c r="H118" s="16">
        <v>168.18</v>
      </c>
      <c r="I118" s="92">
        <v>40.08</v>
      </c>
      <c r="J118" s="92">
        <v>101.16</v>
      </c>
      <c r="K118" s="92">
        <v>28.4</v>
      </c>
      <c r="L118" s="92">
        <v>169.64000000000001</v>
      </c>
      <c r="M118" s="105"/>
      <c r="N118" s="105"/>
      <c r="O118" s="105"/>
      <c r="R118" s="11">
        <v>22.5</v>
      </c>
    </row>
    <row r="119" spans="1:30" s="8" customFormat="1" ht="18" customHeight="1">
      <c r="A119" s="46">
        <v>187</v>
      </c>
      <c r="B119" s="4" t="s">
        <v>25</v>
      </c>
      <c r="C119" s="30">
        <v>150</v>
      </c>
      <c r="D119" s="21">
        <v>10</v>
      </c>
      <c r="E119" s="16">
        <v>4.4000000000000004</v>
      </c>
      <c r="F119" s="16">
        <v>4.7</v>
      </c>
      <c r="G119" s="16">
        <v>34.18</v>
      </c>
      <c r="H119" s="16">
        <v>196.62</v>
      </c>
      <c r="I119" s="92">
        <v>17.600000000000001</v>
      </c>
      <c r="J119" s="92">
        <v>42.300000000000004</v>
      </c>
      <c r="K119" s="92">
        <v>136.72</v>
      </c>
      <c r="L119" s="92">
        <v>196.62</v>
      </c>
      <c r="M119" s="105"/>
      <c r="N119" s="105"/>
      <c r="O119" s="105"/>
      <c r="P119" s="11"/>
      <c r="Q119" s="11"/>
      <c r="R119" s="11">
        <v>5.25</v>
      </c>
      <c r="S119" s="11"/>
    </row>
    <row r="120" spans="1:30" s="8" customFormat="1" ht="18" customHeight="1">
      <c r="A120" s="46">
        <v>321</v>
      </c>
      <c r="B120" s="4" t="s">
        <v>60</v>
      </c>
      <c r="C120" s="52">
        <v>200</v>
      </c>
      <c r="D120" s="42">
        <v>12.826000000000001</v>
      </c>
      <c r="E120" s="14">
        <v>0.1</v>
      </c>
      <c r="F120" s="14">
        <v>0</v>
      </c>
      <c r="G120" s="14">
        <v>18.399999999999999</v>
      </c>
      <c r="H120" s="15">
        <v>74</v>
      </c>
      <c r="I120" s="92">
        <v>0.4</v>
      </c>
      <c r="J120" s="92">
        <v>0</v>
      </c>
      <c r="K120" s="92">
        <v>73.599999999999994</v>
      </c>
      <c r="L120" s="92">
        <v>74</v>
      </c>
      <c r="M120" s="94"/>
      <c r="N120" s="94"/>
      <c r="O120" s="94"/>
      <c r="R120" s="8">
        <v>5.83</v>
      </c>
    </row>
    <row r="121" spans="1:30" ht="18" customHeight="1">
      <c r="A121" s="49" t="s">
        <v>44</v>
      </c>
      <c r="B121" s="4" t="s">
        <v>5</v>
      </c>
      <c r="C121" s="52">
        <v>30</v>
      </c>
      <c r="D121" s="42">
        <v>3.54</v>
      </c>
      <c r="E121" s="2">
        <v>1.98</v>
      </c>
      <c r="F121" s="53">
        <v>0.36</v>
      </c>
      <c r="G121" s="2">
        <v>10.02</v>
      </c>
      <c r="H121" s="2">
        <v>51.24</v>
      </c>
      <c r="I121" s="92">
        <v>7.92</v>
      </c>
      <c r="J121" s="92">
        <v>3.2399999999999998</v>
      </c>
      <c r="K121" s="92">
        <v>40.08</v>
      </c>
      <c r="L121" s="92">
        <v>51.239999999999995</v>
      </c>
      <c r="M121" s="85"/>
      <c r="N121" s="85"/>
      <c r="O121" s="85"/>
      <c r="P121" s="8"/>
      <c r="Q121" s="8"/>
      <c r="R121" s="8">
        <v>1.57</v>
      </c>
      <c r="S121" s="8"/>
      <c r="AD121" s="11" t="s">
        <v>86</v>
      </c>
    </row>
    <row r="122" spans="1:30" ht="18" customHeight="1">
      <c r="A122" s="48"/>
      <c r="B122" s="9" t="s">
        <v>22</v>
      </c>
      <c r="C122" s="51">
        <v>700</v>
      </c>
      <c r="D122" s="36">
        <v>71.536000000000016</v>
      </c>
      <c r="E122" s="5">
        <v>23.8</v>
      </c>
      <c r="F122" s="5">
        <v>23.7</v>
      </c>
      <c r="G122" s="5">
        <v>100.49999999999999</v>
      </c>
      <c r="H122" s="5">
        <v>709.04</v>
      </c>
      <c r="I122" s="37">
        <v>23.1</v>
      </c>
      <c r="J122" s="37">
        <v>23.700000000000003</v>
      </c>
      <c r="K122" s="37">
        <v>100.5</v>
      </c>
      <c r="L122" s="37">
        <v>705</v>
      </c>
      <c r="M122" s="10"/>
      <c r="N122" s="10"/>
      <c r="O122" s="10"/>
      <c r="P122" s="89">
        <v>3.9999999999906777E-3</v>
      </c>
      <c r="R122" s="11">
        <v>44.28</v>
      </c>
    </row>
    <row r="123" spans="1:30" ht="18" customHeight="1">
      <c r="A123" s="48"/>
      <c r="B123" s="3" t="s">
        <v>9</v>
      </c>
      <c r="C123" s="51"/>
      <c r="D123" s="36"/>
      <c r="E123" s="6">
        <v>41.35</v>
      </c>
      <c r="F123" s="6">
        <v>38.32</v>
      </c>
      <c r="G123" s="6">
        <v>168.60999999999999</v>
      </c>
      <c r="H123" s="6">
        <v>1183.06</v>
      </c>
      <c r="I123" s="97">
        <v>0.69999999999999929</v>
      </c>
      <c r="J123" s="97">
        <v>0</v>
      </c>
      <c r="K123" s="97">
        <v>0</v>
      </c>
      <c r="L123" s="97"/>
      <c r="M123" s="97"/>
      <c r="N123" s="97"/>
      <c r="O123" s="97"/>
    </row>
    <row r="124" spans="1:30" ht="18" customHeight="1">
      <c r="A124" s="111" t="s">
        <v>57</v>
      </c>
      <c r="B124" s="112"/>
      <c r="C124" s="35"/>
      <c r="D124" s="34"/>
      <c r="E124" s="23"/>
      <c r="F124" s="23"/>
      <c r="G124" s="23"/>
      <c r="H124" s="34"/>
      <c r="I124" s="18"/>
      <c r="J124" s="18"/>
      <c r="K124" s="18"/>
      <c r="L124" s="18"/>
      <c r="M124" s="18"/>
      <c r="N124" s="18"/>
      <c r="O124" s="18"/>
    </row>
    <row r="125" spans="1:30" ht="18" customHeight="1">
      <c r="A125" s="111" t="s">
        <v>12</v>
      </c>
      <c r="B125" s="112"/>
      <c r="C125" s="55"/>
      <c r="D125" s="36"/>
      <c r="E125" s="3"/>
      <c r="F125" s="3"/>
      <c r="G125" s="3"/>
      <c r="H125" s="3"/>
      <c r="I125" s="18"/>
      <c r="J125" s="18"/>
      <c r="K125" s="18"/>
      <c r="L125" s="18"/>
      <c r="M125" s="18"/>
      <c r="N125" s="18"/>
      <c r="O125" s="18"/>
    </row>
    <row r="126" spans="1:30" ht="18" customHeight="1">
      <c r="A126" s="46">
        <v>258</v>
      </c>
      <c r="B126" s="4" t="s">
        <v>69</v>
      </c>
      <c r="C126" s="52">
        <v>170</v>
      </c>
      <c r="D126" s="42">
        <v>46.042760000000008</v>
      </c>
      <c r="E126" s="17">
        <v>11.75</v>
      </c>
      <c r="F126" s="17">
        <v>15.3</v>
      </c>
      <c r="G126" s="17">
        <v>52.16</v>
      </c>
      <c r="H126" s="17">
        <v>393.34</v>
      </c>
      <c r="I126" s="92">
        <v>47</v>
      </c>
      <c r="J126" s="92">
        <v>137.70000000000002</v>
      </c>
      <c r="K126" s="92">
        <v>208.64</v>
      </c>
      <c r="L126" s="92">
        <v>393.34000000000003</v>
      </c>
      <c r="M126" s="92"/>
      <c r="N126" s="92"/>
      <c r="O126" s="92"/>
      <c r="P126" s="11">
        <v>18.330000000000002</v>
      </c>
      <c r="Q126" s="11">
        <v>5.2758000000000003</v>
      </c>
      <c r="R126" s="11">
        <v>23.605800000000002</v>
      </c>
    </row>
    <row r="127" spans="1:30" s="8" customFormat="1" ht="18" customHeight="1">
      <c r="A127" s="46">
        <v>307</v>
      </c>
      <c r="B127" s="26" t="s">
        <v>61</v>
      </c>
      <c r="C127" s="52">
        <v>200</v>
      </c>
      <c r="D127" s="21">
        <v>3.4</v>
      </c>
      <c r="E127" s="80">
        <v>0.2</v>
      </c>
      <c r="F127" s="80">
        <v>0</v>
      </c>
      <c r="G127" s="80">
        <v>9</v>
      </c>
      <c r="H127" s="80">
        <v>38</v>
      </c>
      <c r="I127" s="92">
        <v>0.8</v>
      </c>
      <c r="J127" s="92">
        <v>0</v>
      </c>
      <c r="K127" s="92">
        <v>36</v>
      </c>
      <c r="L127" s="92">
        <v>36.799999999999997</v>
      </c>
      <c r="M127" s="108"/>
      <c r="N127" s="108"/>
      <c r="O127" s="108"/>
      <c r="P127" s="11"/>
      <c r="Q127" s="11"/>
      <c r="R127" s="11"/>
      <c r="S127" s="11"/>
    </row>
    <row r="128" spans="1:30" ht="18" customHeight="1">
      <c r="A128" s="46" t="s">
        <v>42</v>
      </c>
      <c r="B128" s="4" t="s">
        <v>39</v>
      </c>
      <c r="C128" s="31">
        <v>130</v>
      </c>
      <c r="D128" s="42">
        <v>22.1</v>
      </c>
      <c r="E128" s="17">
        <v>1.8225000000000005</v>
      </c>
      <c r="F128" s="17">
        <v>0.40500000000000003</v>
      </c>
      <c r="G128" s="17">
        <v>4.6425000000000001</v>
      </c>
      <c r="H128" s="17">
        <v>29.51</v>
      </c>
      <c r="I128" s="92">
        <v>7.2900000000000018</v>
      </c>
      <c r="J128" s="92">
        <v>3.6450000000000005</v>
      </c>
      <c r="K128" s="92">
        <v>18.57</v>
      </c>
      <c r="L128" s="92">
        <v>29.505000000000003</v>
      </c>
      <c r="M128" s="92"/>
      <c r="N128" s="92"/>
      <c r="O128" s="92"/>
      <c r="P128" s="8"/>
      <c r="Q128" s="8"/>
      <c r="R128" s="8"/>
      <c r="S128" s="8"/>
    </row>
    <row r="129" spans="1:18" ht="18" customHeight="1">
      <c r="A129" s="48"/>
      <c r="B129" s="9" t="s">
        <v>22</v>
      </c>
      <c r="C129" s="51">
        <v>500</v>
      </c>
      <c r="D129" s="36">
        <v>71.542760000000015</v>
      </c>
      <c r="E129" s="6">
        <v>13.772499999999999</v>
      </c>
      <c r="F129" s="6">
        <v>15.705</v>
      </c>
      <c r="G129" s="6">
        <v>65.802499999999995</v>
      </c>
      <c r="H129" s="6">
        <v>460.84999999999997</v>
      </c>
      <c r="I129" s="37">
        <v>15.4</v>
      </c>
      <c r="J129" s="37">
        <v>15.8</v>
      </c>
      <c r="K129" s="37">
        <v>67</v>
      </c>
      <c r="L129" s="37">
        <v>470</v>
      </c>
      <c r="M129" s="97">
        <v>23.5</v>
      </c>
      <c r="N129" s="97"/>
      <c r="O129" s="97"/>
      <c r="P129" s="89"/>
    </row>
    <row r="130" spans="1:18" ht="18" customHeight="1">
      <c r="A130" s="50"/>
      <c r="B130" s="29"/>
      <c r="C130" s="63"/>
      <c r="D130" s="37"/>
      <c r="E130" s="10"/>
      <c r="F130" s="10"/>
      <c r="G130" s="10"/>
      <c r="H130" s="10"/>
      <c r="I130" s="10">
        <v>1.6275000000000013</v>
      </c>
      <c r="J130" s="10">
        <v>9.5000000000000639E-2</v>
      </c>
      <c r="K130" s="10">
        <v>1.1975000000000051</v>
      </c>
      <c r="L130" s="10"/>
      <c r="M130" s="10"/>
      <c r="N130" s="10"/>
      <c r="O130" s="10"/>
    </row>
    <row r="131" spans="1:18" ht="18" customHeight="1">
      <c r="A131" s="113" t="s">
        <v>11</v>
      </c>
      <c r="B131" s="113"/>
      <c r="C131" s="45"/>
      <c r="D131" s="37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</row>
    <row r="132" spans="1:18" ht="18" customHeight="1">
      <c r="A132" s="46">
        <v>56</v>
      </c>
      <c r="B132" s="26" t="s">
        <v>35</v>
      </c>
      <c r="C132" s="57">
        <v>200</v>
      </c>
      <c r="D132" s="42">
        <v>12.8</v>
      </c>
      <c r="E132" s="19">
        <v>1.92</v>
      </c>
      <c r="F132" s="19">
        <v>6.4</v>
      </c>
      <c r="G132" s="14">
        <v>24.56</v>
      </c>
      <c r="H132" s="14">
        <v>163.52000000000001</v>
      </c>
      <c r="I132" s="92">
        <v>7.68</v>
      </c>
      <c r="J132" s="92">
        <v>57.6</v>
      </c>
      <c r="K132" s="92">
        <v>98.24</v>
      </c>
      <c r="L132" s="92">
        <v>163.51999999999998</v>
      </c>
      <c r="M132" s="101"/>
      <c r="N132" s="101"/>
      <c r="O132" s="101"/>
      <c r="R132" s="11">
        <v>8.6999999999999993</v>
      </c>
    </row>
    <row r="133" spans="1:18" ht="18" customHeight="1">
      <c r="A133" s="46">
        <v>132</v>
      </c>
      <c r="B133" s="33" t="s">
        <v>85</v>
      </c>
      <c r="C133" s="62">
        <v>90</v>
      </c>
      <c r="D133" s="39">
        <v>35.72</v>
      </c>
      <c r="E133" s="32">
        <v>8.3545454545454518</v>
      </c>
      <c r="F133" s="32">
        <v>8.27</v>
      </c>
      <c r="G133" s="32">
        <v>12</v>
      </c>
      <c r="H133" s="32">
        <v>155.85</v>
      </c>
      <c r="I133" s="92">
        <v>33.418181818181807</v>
      </c>
      <c r="J133" s="92">
        <v>74.429999999999993</v>
      </c>
      <c r="K133" s="92">
        <v>48</v>
      </c>
      <c r="L133" s="92">
        <v>155.84818181818179</v>
      </c>
      <c r="M133" s="103"/>
      <c r="N133" s="103"/>
      <c r="O133" s="103"/>
      <c r="R133" s="11">
        <v>26.55</v>
      </c>
    </row>
    <row r="134" spans="1:18" ht="18" customHeight="1">
      <c r="A134" s="46">
        <v>158</v>
      </c>
      <c r="B134" s="1" t="s">
        <v>67</v>
      </c>
      <c r="C134" s="30">
        <v>180</v>
      </c>
      <c r="D134" s="21">
        <v>12</v>
      </c>
      <c r="E134" s="14">
        <v>9.2200000000000006</v>
      </c>
      <c r="F134" s="14">
        <v>8.16</v>
      </c>
      <c r="G134" s="14">
        <v>18.36</v>
      </c>
      <c r="H134" s="14">
        <v>183.76</v>
      </c>
      <c r="I134" s="92">
        <v>36.880000000000003</v>
      </c>
      <c r="J134" s="92">
        <v>73.44</v>
      </c>
      <c r="K134" s="92">
        <v>73.44</v>
      </c>
      <c r="L134" s="92">
        <v>183.76</v>
      </c>
      <c r="M134" s="101"/>
      <c r="N134" s="101"/>
      <c r="O134" s="101"/>
      <c r="R134" s="11">
        <v>8.34</v>
      </c>
    </row>
    <row r="135" spans="1:18" ht="18" customHeight="1">
      <c r="A135" s="46">
        <v>319</v>
      </c>
      <c r="B135" s="13" t="s">
        <v>64</v>
      </c>
      <c r="C135" s="52">
        <v>200</v>
      </c>
      <c r="D135" s="21">
        <v>7.48</v>
      </c>
      <c r="E135" s="22">
        <v>0.7</v>
      </c>
      <c r="F135" s="22">
        <v>0.3</v>
      </c>
      <c r="G135" s="22">
        <v>29</v>
      </c>
      <c r="H135" s="13">
        <v>121.5</v>
      </c>
      <c r="I135" s="92">
        <v>2.8</v>
      </c>
      <c r="J135" s="92">
        <v>2.6999999999999997</v>
      </c>
      <c r="K135" s="92">
        <v>116</v>
      </c>
      <c r="L135" s="92">
        <v>121.5</v>
      </c>
      <c r="M135" s="86"/>
      <c r="N135" s="86"/>
      <c r="O135" s="86"/>
      <c r="R135" s="11">
        <v>3.4</v>
      </c>
    </row>
    <row r="136" spans="1:18" ht="18" customHeight="1">
      <c r="A136" s="49" t="s">
        <v>44</v>
      </c>
      <c r="B136" s="4" t="s">
        <v>5</v>
      </c>
      <c r="C136" s="52">
        <v>30</v>
      </c>
      <c r="D136" s="42">
        <v>3.54</v>
      </c>
      <c r="E136" s="2">
        <v>3.3000000000000003</v>
      </c>
      <c r="F136" s="53">
        <v>0.6</v>
      </c>
      <c r="G136" s="2">
        <v>16.7</v>
      </c>
      <c r="H136" s="2">
        <v>85.399999999999991</v>
      </c>
      <c r="I136" s="92">
        <v>13.200000000000001</v>
      </c>
      <c r="J136" s="92">
        <v>5.3999999999999995</v>
      </c>
      <c r="K136" s="92">
        <v>66.8</v>
      </c>
      <c r="L136" s="92">
        <v>85.4</v>
      </c>
      <c r="M136" s="85"/>
      <c r="N136" s="85"/>
      <c r="O136" s="85"/>
      <c r="R136" s="11">
        <v>1.57</v>
      </c>
    </row>
    <row r="137" spans="1:18" ht="18" customHeight="1">
      <c r="A137" s="46"/>
      <c r="B137" s="9" t="s">
        <v>22</v>
      </c>
      <c r="C137" s="51">
        <v>700</v>
      </c>
      <c r="D137" s="36">
        <v>71.540000000000006</v>
      </c>
      <c r="E137" s="5">
        <v>23.494545454545452</v>
      </c>
      <c r="F137" s="5">
        <v>23.73</v>
      </c>
      <c r="G137" s="5">
        <v>100.62</v>
      </c>
      <c r="H137" s="5">
        <v>710.03</v>
      </c>
      <c r="I137" s="92">
        <v>93.97818181818181</v>
      </c>
      <c r="J137" s="92">
        <v>213.57</v>
      </c>
      <c r="K137" s="92">
        <v>402.48</v>
      </c>
      <c r="L137" s="92">
        <v>710.02818181818179</v>
      </c>
      <c r="M137" s="10"/>
      <c r="N137" s="10"/>
      <c r="O137" s="10"/>
      <c r="P137" s="89">
        <v>0</v>
      </c>
      <c r="R137" s="11">
        <v>48.56</v>
      </c>
    </row>
    <row r="138" spans="1:18" ht="18" customHeight="1">
      <c r="A138" s="46"/>
      <c r="B138" s="9"/>
      <c r="C138" s="51"/>
      <c r="D138" s="36"/>
      <c r="E138" s="5">
        <v>37.267045454545453</v>
      </c>
      <c r="F138" s="5">
        <v>39.435000000000002</v>
      </c>
      <c r="G138" s="5">
        <v>166.42250000000001</v>
      </c>
      <c r="H138" s="5">
        <v>1170.8799999999999</v>
      </c>
      <c r="I138" s="37">
        <v>23.1</v>
      </c>
      <c r="J138" s="37">
        <v>23.700000000000003</v>
      </c>
      <c r="K138" s="37">
        <v>100.5</v>
      </c>
      <c r="L138" s="37">
        <v>705</v>
      </c>
      <c r="M138" s="10"/>
      <c r="N138" s="10"/>
      <c r="O138" s="10"/>
    </row>
    <row r="139" spans="1:18" ht="18" customHeight="1">
      <c r="A139" s="117" t="s">
        <v>58</v>
      </c>
      <c r="B139" s="118"/>
      <c r="C139" s="54"/>
      <c r="D139" s="23"/>
      <c r="E139" s="23"/>
      <c r="F139" s="23"/>
      <c r="G139" s="23"/>
      <c r="H139" s="23"/>
      <c r="I139" s="10">
        <v>0.39454545454545098</v>
      </c>
      <c r="J139" s="10">
        <v>2.9999999999997584E-2</v>
      </c>
      <c r="K139" s="10">
        <v>0.12000000000000455</v>
      </c>
      <c r="L139" s="18"/>
      <c r="M139" s="18"/>
      <c r="N139" s="18"/>
      <c r="O139" s="18"/>
    </row>
    <row r="140" spans="1:18" ht="18" customHeight="1">
      <c r="A140" s="113" t="s">
        <v>12</v>
      </c>
      <c r="B140" s="113"/>
      <c r="C140" s="45"/>
      <c r="D140" s="37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</row>
    <row r="141" spans="1:18" ht="18" customHeight="1">
      <c r="A141" s="49" t="s">
        <v>45</v>
      </c>
      <c r="B141" s="1" t="s">
        <v>21</v>
      </c>
      <c r="C141" s="58">
        <v>150</v>
      </c>
      <c r="D141" s="42">
        <v>12</v>
      </c>
      <c r="E141" s="14">
        <v>2.6</v>
      </c>
      <c r="F141" s="14">
        <v>6.8</v>
      </c>
      <c r="G141" s="14">
        <v>10.3</v>
      </c>
      <c r="H141" s="15">
        <v>112.8</v>
      </c>
      <c r="I141" s="92">
        <v>10.4</v>
      </c>
      <c r="J141" s="92">
        <v>61.199999999999996</v>
      </c>
      <c r="K141" s="92">
        <v>41.2</v>
      </c>
      <c r="L141" s="92">
        <v>112.8</v>
      </c>
      <c r="M141" s="94"/>
      <c r="N141" s="94"/>
      <c r="O141" s="94"/>
      <c r="R141" s="11">
        <v>5.25</v>
      </c>
    </row>
    <row r="142" spans="1:18" ht="18" customHeight="1">
      <c r="A142" s="46">
        <v>136</v>
      </c>
      <c r="B142" s="26" t="s">
        <v>51</v>
      </c>
      <c r="C142" s="58">
        <v>100</v>
      </c>
      <c r="D142" s="42">
        <v>32.5</v>
      </c>
      <c r="E142" s="21">
        <v>8.5</v>
      </c>
      <c r="F142" s="21">
        <v>7.3000000000000007</v>
      </c>
      <c r="G142" s="21">
        <v>8.9</v>
      </c>
      <c r="H142" s="21">
        <v>135.30000000000001</v>
      </c>
      <c r="I142" s="92">
        <v>34</v>
      </c>
      <c r="J142" s="92">
        <v>65.7</v>
      </c>
      <c r="K142" s="92">
        <v>35.6</v>
      </c>
      <c r="L142" s="92">
        <v>135.30000000000001</v>
      </c>
      <c r="M142" s="100"/>
      <c r="N142" s="100"/>
      <c r="O142" s="100"/>
      <c r="R142" s="11">
        <v>11.273</v>
      </c>
    </row>
    <row r="143" spans="1:18" ht="18" customHeight="1">
      <c r="A143" s="46">
        <v>300</v>
      </c>
      <c r="B143" s="26" t="s">
        <v>30</v>
      </c>
      <c r="C143" s="52">
        <v>200</v>
      </c>
      <c r="D143" s="21">
        <v>2.5</v>
      </c>
      <c r="E143" s="4">
        <v>0.1</v>
      </c>
      <c r="F143" s="4">
        <v>0</v>
      </c>
      <c r="G143" s="4">
        <v>20.2</v>
      </c>
      <c r="H143" s="4">
        <v>81.2</v>
      </c>
      <c r="I143" s="92">
        <v>0.4</v>
      </c>
      <c r="J143" s="92">
        <v>0</v>
      </c>
      <c r="K143" s="92">
        <v>80.8</v>
      </c>
      <c r="L143" s="92">
        <v>81.2</v>
      </c>
      <c r="M143" s="84"/>
      <c r="N143" s="84"/>
      <c r="O143" s="84"/>
      <c r="R143" s="11">
        <v>2.16</v>
      </c>
    </row>
    <row r="144" spans="1:18" ht="18" customHeight="1">
      <c r="A144" s="49" t="s">
        <v>46</v>
      </c>
      <c r="B144" s="2" t="s">
        <v>23</v>
      </c>
      <c r="C144" s="30">
        <v>20</v>
      </c>
      <c r="D144" s="21">
        <v>18.000000000000004</v>
      </c>
      <c r="E144" s="16">
        <v>2.8</v>
      </c>
      <c r="F144" s="16">
        <v>6</v>
      </c>
      <c r="G144" s="16">
        <v>2</v>
      </c>
      <c r="H144" s="79">
        <v>73.2</v>
      </c>
      <c r="I144" s="92">
        <v>11.2</v>
      </c>
      <c r="J144" s="92">
        <v>54</v>
      </c>
      <c r="K144" s="92">
        <v>8</v>
      </c>
      <c r="L144" s="92">
        <v>73.2</v>
      </c>
      <c r="M144" s="109"/>
      <c r="N144" s="109"/>
      <c r="O144" s="109"/>
      <c r="R144" s="11">
        <v>9.4</v>
      </c>
    </row>
    <row r="145" spans="1:29" ht="18" customHeight="1">
      <c r="A145" s="49" t="s">
        <v>43</v>
      </c>
      <c r="B145" s="4" t="s">
        <v>0</v>
      </c>
      <c r="C145" s="52">
        <v>30</v>
      </c>
      <c r="D145" s="21">
        <v>6.54</v>
      </c>
      <c r="E145" s="4">
        <v>2.37</v>
      </c>
      <c r="F145" s="4">
        <v>0.3</v>
      </c>
      <c r="G145" s="4">
        <v>14.49</v>
      </c>
      <c r="H145" s="4">
        <v>70.14</v>
      </c>
      <c r="I145" s="92">
        <v>9.48</v>
      </c>
      <c r="J145" s="92">
        <v>2.6999999999999997</v>
      </c>
      <c r="K145" s="92">
        <v>57.96</v>
      </c>
      <c r="L145" s="92">
        <v>70.14</v>
      </c>
      <c r="M145" s="84"/>
      <c r="N145" s="84"/>
      <c r="O145" s="84"/>
      <c r="R145" s="11">
        <v>1.57</v>
      </c>
    </row>
    <row r="146" spans="1:29" ht="18" customHeight="1">
      <c r="A146" s="48"/>
      <c r="B146" s="9" t="s">
        <v>22</v>
      </c>
      <c r="C146" s="51">
        <v>500</v>
      </c>
      <c r="D146" s="6">
        <v>71.540000000000006</v>
      </c>
      <c r="E146" s="5">
        <v>16.37</v>
      </c>
      <c r="F146" s="5">
        <v>20.400000000000002</v>
      </c>
      <c r="G146" s="5">
        <v>55.890000000000008</v>
      </c>
      <c r="H146" s="5">
        <v>472.64</v>
      </c>
      <c r="I146" s="37">
        <v>15.4</v>
      </c>
      <c r="J146" s="37">
        <v>15.8</v>
      </c>
      <c r="K146" s="37">
        <v>67</v>
      </c>
      <c r="L146" s="37">
        <v>470</v>
      </c>
      <c r="M146" s="10"/>
      <c r="N146" s="10"/>
      <c r="O146" s="10"/>
      <c r="P146" s="89">
        <v>0</v>
      </c>
      <c r="R146" s="11">
        <v>29.652999999999999</v>
      </c>
    </row>
    <row r="147" spans="1:29" ht="18" customHeight="1">
      <c r="A147" s="111" t="s">
        <v>11</v>
      </c>
      <c r="B147" s="112"/>
      <c r="C147" s="55"/>
      <c r="D147" s="37"/>
      <c r="E147" s="18"/>
      <c r="F147" s="18"/>
      <c r="G147" s="18"/>
      <c r="H147" s="18"/>
      <c r="I147" s="10">
        <v>0.97000000000000064</v>
      </c>
      <c r="J147" s="18"/>
      <c r="K147" s="18"/>
      <c r="L147" s="18"/>
      <c r="M147" s="18"/>
      <c r="N147" s="18"/>
      <c r="O147" s="18"/>
    </row>
    <row r="148" spans="1:29" ht="18" customHeight="1">
      <c r="A148" s="46">
        <v>58</v>
      </c>
      <c r="B148" s="26" t="s">
        <v>48</v>
      </c>
      <c r="C148" s="57">
        <v>220</v>
      </c>
      <c r="D148" s="42">
        <v>15</v>
      </c>
      <c r="E148" s="14">
        <v>6.58</v>
      </c>
      <c r="F148" s="14">
        <v>7.2</v>
      </c>
      <c r="G148" s="14">
        <v>29.8</v>
      </c>
      <c r="H148" s="14">
        <v>210.32</v>
      </c>
      <c r="I148" s="92">
        <v>26.32</v>
      </c>
      <c r="J148" s="92">
        <v>64.8</v>
      </c>
      <c r="K148" s="92">
        <v>119.2</v>
      </c>
      <c r="L148" s="92">
        <v>210.32</v>
      </c>
      <c r="M148" s="93"/>
      <c r="N148" s="93"/>
      <c r="O148" s="93"/>
      <c r="R148" s="11">
        <v>8.36</v>
      </c>
    </row>
    <row r="149" spans="1:29" ht="18" customHeight="1">
      <c r="A149" s="65">
        <v>110</v>
      </c>
      <c r="B149" s="66" t="s">
        <v>52</v>
      </c>
      <c r="C149" s="62">
        <v>100</v>
      </c>
      <c r="D149" s="39">
        <v>31</v>
      </c>
      <c r="E149" s="32">
        <v>7.6666666666666679</v>
      </c>
      <c r="F149" s="32">
        <v>11.222222222222221</v>
      </c>
      <c r="G149" s="32">
        <v>9.6666666666666661</v>
      </c>
      <c r="H149" s="32">
        <v>170.33333333333334</v>
      </c>
      <c r="I149" s="92">
        <v>30.666666666666671</v>
      </c>
      <c r="J149" s="92">
        <v>101</v>
      </c>
      <c r="K149" s="92">
        <v>38.666666666666664</v>
      </c>
      <c r="L149" s="92">
        <v>170.33333333333334</v>
      </c>
      <c r="M149" s="103"/>
      <c r="N149" s="103"/>
      <c r="O149" s="103"/>
      <c r="R149" s="11">
        <v>9.8000000000000007</v>
      </c>
    </row>
    <row r="150" spans="1:29" ht="18" customHeight="1">
      <c r="A150" s="46">
        <v>147</v>
      </c>
      <c r="B150" s="28" t="s">
        <v>63</v>
      </c>
      <c r="C150" s="52">
        <v>150</v>
      </c>
      <c r="D150" s="42">
        <v>14</v>
      </c>
      <c r="E150" s="17">
        <v>3.5</v>
      </c>
      <c r="F150" s="17">
        <v>5.4</v>
      </c>
      <c r="G150" s="17">
        <v>31</v>
      </c>
      <c r="H150" s="17">
        <v>186.6</v>
      </c>
      <c r="I150" s="92">
        <v>14</v>
      </c>
      <c r="J150" s="92">
        <v>48.6</v>
      </c>
      <c r="K150" s="92">
        <v>124</v>
      </c>
      <c r="L150" s="92">
        <v>186.6</v>
      </c>
      <c r="M150" s="92"/>
      <c r="N150" s="92"/>
      <c r="O150" s="92"/>
      <c r="R150" s="11">
        <v>7.02</v>
      </c>
    </row>
    <row r="151" spans="1:29" ht="18" customHeight="1">
      <c r="A151" s="46">
        <v>310</v>
      </c>
      <c r="B151" s="4" t="s">
        <v>34</v>
      </c>
      <c r="C151" s="52">
        <v>200</v>
      </c>
      <c r="D151" s="21">
        <v>8</v>
      </c>
      <c r="E151" s="22">
        <v>0.5</v>
      </c>
      <c r="F151" s="22">
        <v>0.1</v>
      </c>
      <c r="G151" s="22">
        <v>23.9</v>
      </c>
      <c r="H151" s="22">
        <v>98.5</v>
      </c>
      <c r="I151" s="92">
        <v>2</v>
      </c>
      <c r="J151" s="92">
        <v>0.9</v>
      </c>
      <c r="K151" s="92">
        <v>95.6</v>
      </c>
      <c r="L151" s="92">
        <v>98.5</v>
      </c>
      <c r="M151" s="95"/>
      <c r="N151" s="95"/>
      <c r="O151" s="95"/>
      <c r="R151" s="11">
        <v>3</v>
      </c>
    </row>
    <row r="152" spans="1:29" ht="15.75">
      <c r="A152" s="49" t="s">
        <v>44</v>
      </c>
      <c r="B152" s="4" t="s">
        <v>5</v>
      </c>
      <c r="C152" s="52">
        <v>30</v>
      </c>
      <c r="D152" s="42">
        <v>3.54</v>
      </c>
      <c r="E152" s="2">
        <v>1.98</v>
      </c>
      <c r="F152" s="53">
        <v>0.36</v>
      </c>
      <c r="G152" s="2">
        <v>10.02</v>
      </c>
      <c r="H152" s="2">
        <v>51.24</v>
      </c>
      <c r="I152" s="92">
        <v>7.92</v>
      </c>
      <c r="J152" s="92">
        <v>3.2399999999999998</v>
      </c>
      <c r="K152" s="92">
        <v>40.08</v>
      </c>
      <c r="L152" s="92">
        <v>51.239999999999995</v>
      </c>
      <c r="M152" s="85"/>
      <c r="N152" s="85"/>
      <c r="O152" s="85"/>
      <c r="R152" s="11">
        <v>1.57</v>
      </c>
    </row>
    <row r="153" spans="1:29" ht="15.75">
      <c r="A153" s="48"/>
      <c r="B153" s="9" t="s">
        <v>22</v>
      </c>
      <c r="C153" s="51">
        <v>700</v>
      </c>
      <c r="D153" s="36">
        <v>71.540000000000006</v>
      </c>
      <c r="E153" s="5">
        <v>20.22666666666667</v>
      </c>
      <c r="F153" s="5">
        <v>24.282222222222224</v>
      </c>
      <c r="G153" s="5">
        <v>104.38666666666667</v>
      </c>
      <c r="H153" s="5">
        <v>716.99333333333334</v>
      </c>
      <c r="I153" s="37">
        <v>23.1</v>
      </c>
      <c r="J153" s="37">
        <v>23.700000000000003</v>
      </c>
      <c r="K153" s="37">
        <v>100.5</v>
      </c>
      <c r="L153" s="37">
        <v>705</v>
      </c>
      <c r="M153" s="10"/>
      <c r="N153" s="10"/>
      <c r="O153" s="10"/>
      <c r="P153" s="11">
        <v>71.540000000000006</v>
      </c>
      <c r="Q153" s="89">
        <v>0</v>
      </c>
      <c r="R153" s="11">
        <v>29.75</v>
      </c>
      <c r="AC153" s="89">
        <v>0</v>
      </c>
    </row>
    <row r="154" spans="1:29" ht="15.75">
      <c r="A154" s="48"/>
      <c r="B154" s="12" t="s">
        <v>9</v>
      </c>
      <c r="C154" s="51"/>
      <c r="D154" s="36"/>
      <c r="E154" s="6">
        <v>36.596666666666671</v>
      </c>
      <c r="F154" s="6">
        <v>44.682222222222222</v>
      </c>
      <c r="G154" s="6">
        <v>160.27666666666667</v>
      </c>
      <c r="H154" s="6">
        <v>1189.6333333333332</v>
      </c>
      <c r="I154" s="37">
        <v>23.1</v>
      </c>
      <c r="J154" s="37">
        <v>23.700000000000003</v>
      </c>
      <c r="K154" s="37">
        <v>100.5</v>
      </c>
      <c r="L154" s="37">
        <v>705</v>
      </c>
      <c r="M154" s="97"/>
      <c r="N154" s="97"/>
      <c r="O154" s="97"/>
    </row>
    <row r="155" spans="1:29" ht="15.75">
      <c r="A155" s="70"/>
      <c r="B155" s="114" t="s">
        <v>53</v>
      </c>
      <c r="C155" s="114"/>
      <c r="D155" s="6"/>
      <c r="E155" s="6">
        <v>379.00051174134512</v>
      </c>
      <c r="F155" s="6">
        <v>396.61530389363725</v>
      </c>
      <c r="G155" s="6">
        <v>1644.9358143399809</v>
      </c>
      <c r="H155" s="6">
        <v>11658.441111111109</v>
      </c>
      <c r="I155" s="97"/>
      <c r="J155" s="97"/>
      <c r="K155" s="97"/>
      <c r="L155" s="97"/>
      <c r="M155" s="97"/>
      <c r="N155" s="97"/>
      <c r="O155" s="97"/>
    </row>
    <row r="156" spans="1:29" ht="15.75">
      <c r="A156" s="70"/>
      <c r="B156" s="115" t="s">
        <v>54</v>
      </c>
      <c r="C156" s="115"/>
      <c r="D156" s="71"/>
      <c r="E156" s="6">
        <v>37.900051174134511</v>
      </c>
      <c r="F156" s="6">
        <v>39.661530389363726</v>
      </c>
      <c r="G156" s="6">
        <v>164.49358143399809</v>
      </c>
      <c r="H156" s="6">
        <v>1165.844111111111</v>
      </c>
      <c r="I156" s="97"/>
      <c r="J156" s="97"/>
      <c r="K156" s="97"/>
      <c r="L156" s="97"/>
      <c r="M156" s="97"/>
      <c r="N156" s="97"/>
      <c r="O156" s="97"/>
    </row>
  </sheetData>
  <mergeCells count="42">
    <mergeCell ref="B1:G2"/>
    <mergeCell ref="A3:A7"/>
    <mergeCell ref="B3:B7"/>
    <mergeCell ref="C3:C7"/>
    <mergeCell ref="D3:D7"/>
    <mergeCell ref="F5:F7"/>
    <mergeCell ref="G5:G7"/>
    <mergeCell ref="H3:H7"/>
    <mergeCell ref="A8:B8"/>
    <mergeCell ref="A23:B23"/>
    <mergeCell ref="A38:B38"/>
    <mergeCell ref="A52:B52"/>
    <mergeCell ref="A139:B139"/>
    <mergeCell ref="E3:G4"/>
    <mergeCell ref="E5:E7"/>
    <mergeCell ref="A81:B81"/>
    <mergeCell ref="A109:B109"/>
    <mergeCell ref="B155:C155"/>
    <mergeCell ref="B156:C156"/>
    <mergeCell ref="A9:B9"/>
    <mergeCell ref="A14:B14"/>
    <mergeCell ref="A24:B24"/>
    <mergeCell ref="A30:B30"/>
    <mergeCell ref="A39:B39"/>
    <mergeCell ref="A94:B94"/>
    <mergeCell ref="A66:B66"/>
    <mergeCell ref="A67:B67"/>
    <mergeCell ref="A147:B147"/>
    <mergeCell ref="A95:B95"/>
    <mergeCell ref="A101:B101"/>
    <mergeCell ref="A110:B110"/>
    <mergeCell ref="A116:B116"/>
    <mergeCell ref="A125:B125"/>
    <mergeCell ref="A131:B131"/>
    <mergeCell ref="A124:B124"/>
    <mergeCell ref="A44:B44"/>
    <mergeCell ref="A53:B53"/>
    <mergeCell ref="A59:B59"/>
    <mergeCell ref="A140:B140"/>
    <mergeCell ref="A73:B73"/>
    <mergeCell ref="A82:B82"/>
    <mergeCell ref="A87:B87"/>
  </mergeCells>
  <pageMargins left="0.19685039370078741" right="0" top="0.35433070866141736" bottom="0.55118110236220474" header="0.31496062992125984" footer="0.31496062992125984"/>
  <pageSetup paperSize="9" orientation="landscape" r:id="rId1"/>
  <rowBreaks count="9" manualBreakCount="9">
    <brk id="22" max="16383" man="1"/>
    <brk id="37" max="16383" man="1"/>
    <brk id="51" max="16383" man="1"/>
    <brk id="65" max="16383" man="1"/>
    <brk id="80" max="16383" man="1"/>
    <brk id="93" max="16383" man="1"/>
    <brk id="108" max="16383" man="1"/>
    <brk id="123" max="16383" man="1"/>
    <brk id="1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B156"/>
  <sheetViews>
    <sheetView topLeftCell="A120" workbookViewId="0">
      <selection activeCell="B133" sqref="B133"/>
    </sheetView>
  </sheetViews>
  <sheetFormatPr defaultRowHeight="15"/>
  <cols>
    <col min="1" max="1" width="10" style="44" customWidth="1"/>
    <col min="2" max="2" width="57" style="11" customWidth="1"/>
    <col min="3" max="3" width="9.5703125" style="56" customWidth="1"/>
    <col min="4" max="4" width="9.5703125" style="41" customWidth="1"/>
    <col min="5" max="5" width="10.28515625" style="11" customWidth="1"/>
    <col min="6" max="7" width="10.7109375" style="11" customWidth="1"/>
    <col min="8" max="8" width="11.85546875" style="11" customWidth="1"/>
    <col min="9" max="15" width="11.85546875" style="11" hidden="1" customWidth="1"/>
    <col min="16" max="18" width="9.140625" style="11" hidden="1" customWidth="1"/>
    <col min="19" max="19" width="10.28515625" style="11" hidden="1" customWidth="1"/>
    <col min="20" max="28" width="9.140625" style="11" hidden="1" customWidth="1"/>
    <col min="29" max="16384" width="9.140625" style="11"/>
  </cols>
  <sheetData>
    <row r="1" spans="1:19" ht="15" customHeight="1">
      <c r="B1" s="127" t="s">
        <v>84</v>
      </c>
      <c r="C1" s="127"/>
      <c r="D1" s="127"/>
      <c r="E1" s="127"/>
      <c r="F1" s="127"/>
      <c r="G1" s="127"/>
      <c r="H1" s="43"/>
      <c r="I1" s="43"/>
      <c r="J1" s="43"/>
      <c r="K1" s="43"/>
      <c r="L1" s="43"/>
      <c r="M1" s="43"/>
      <c r="N1" s="43"/>
      <c r="O1" s="43"/>
    </row>
    <row r="2" spans="1:19">
      <c r="B2" s="128"/>
      <c r="C2" s="128"/>
      <c r="D2" s="128"/>
      <c r="E2" s="128"/>
      <c r="F2" s="128"/>
      <c r="G2" s="128"/>
    </row>
    <row r="3" spans="1:19" ht="15.75" customHeight="1">
      <c r="A3" s="129" t="s">
        <v>14</v>
      </c>
      <c r="B3" s="132" t="s">
        <v>13</v>
      </c>
      <c r="C3" s="135" t="s">
        <v>6</v>
      </c>
      <c r="D3" s="138" t="s">
        <v>31</v>
      </c>
      <c r="E3" s="118" t="s">
        <v>7</v>
      </c>
      <c r="F3" s="118"/>
      <c r="G3" s="122"/>
      <c r="H3" s="119" t="s">
        <v>8</v>
      </c>
      <c r="I3" s="91"/>
      <c r="J3" s="91"/>
      <c r="K3" s="91"/>
      <c r="L3" s="91"/>
      <c r="M3" s="91"/>
      <c r="N3" s="91"/>
      <c r="O3" s="91"/>
    </row>
    <row r="4" spans="1:19" ht="15.75" customHeight="1">
      <c r="A4" s="130"/>
      <c r="B4" s="133"/>
      <c r="C4" s="136"/>
      <c r="D4" s="138"/>
      <c r="E4" s="113"/>
      <c r="F4" s="113"/>
      <c r="G4" s="123"/>
      <c r="H4" s="120"/>
      <c r="I4" s="91"/>
      <c r="J4" s="91"/>
      <c r="K4" s="91"/>
      <c r="L4" s="91"/>
      <c r="M4" s="91"/>
      <c r="N4" s="91"/>
      <c r="O4" s="91"/>
    </row>
    <row r="5" spans="1:19" ht="15" customHeight="1">
      <c r="A5" s="130"/>
      <c r="B5" s="133"/>
      <c r="C5" s="136"/>
      <c r="D5" s="138"/>
      <c r="E5" s="124" t="s">
        <v>2</v>
      </c>
      <c r="F5" s="132" t="s">
        <v>3</v>
      </c>
      <c r="G5" s="132" t="s">
        <v>4</v>
      </c>
      <c r="H5" s="120"/>
      <c r="I5" s="91"/>
      <c r="J5" s="91"/>
      <c r="K5" s="91"/>
      <c r="L5" s="91"/>
      <c r="M5" s="91"/>
      <c r="N5" s="91"/>
      <c r="O5" s="91"/>
    </row>
    <row r="6" spans="1:19" ht="15" customHeight="1">
      <c r="A6" s="130"/>
      <c r="B6" s="133"/>
      <c r="C6" s="136"/>
      <c r="D6" s="138"/>
      <c r="E6" s="125"/>
      <c r="F6" s="133"/>
      <c r="G6" s="133"/>
      <c r="H6" s="120"/>
      <c r="I6" s="91"/>
      <c r="J6" s="91"/>
      <c r="K6" s="91"/>
      <c r="L6" s="91"/>
      <c r="M6" s="91"/>
      <c r="N6" s="91"/>
      <c r="O6" s="91"/>
    </row>
    <row r="7" spans="1:19" ht="33" customHeight="1">
      <c r="A7" s="131"/>
      <c r="B7" s="134"/>
      <c r="C7" s="137"/>
      <c r="D7" s="138"/>
      <c r="E7" s="126"/>
      <c r="F7" s="134"/>
      <c r="G7" s="134"/>
      <c r="H7" s="121"/>
      <c r="I7" s="91"/>
      <c r="J7" s="91"/>
      <c r="K7" s="91"/>
      <c r="L7" s="91"/>
      <c r="M7" s="91"/>
      <c r="N7" s="91"/>
      <c r="O7" s="91"/>
    </row>
    <row r="8" spans="1:19" ht="18.75" customHeight="1">
      <c r="A8" s="111" t="s">
        <v>15</v>
      </c>
      <c r="B8" s="112"/>
      <c r="C8" s="35"/>
      <c r="D8" s="34"/>
      <c r="E8" s="34"/>
      <c r="F8" s="34"/>
      <c r="G8" s="34"/>
      <c r="H8" s="34"/>
      <c r="I8" s="18"/>
      <c r="J8" s="18"/>
      <c r="K8" s="18"/>
      <c r="L8" s="18"/>
      <c r="M8" s="18"/>
      <c r="N8" s="18"/>
      <c r="O8" s="18"/>
    </row>
    <row r="9" spans="1:19" ht="18" customHeight="1">
      <c r="A9" s="111" t="s">
        <v>10</v>
      </c>
      <c r="B9" s="112"/>
      <c r="C9" s="35"/>
      <c r="D9" s="40"/>
      <c r="E9" s="12"/>
      <c r="F9" s="12"/>
      <c r="G9" s="12"/>
      <c r="H9" s="12"/>
      <c r="I9" s="83"/>
      <c r="J9" s="83"/>
      <c r="K9" s="83"/>
      <c r="L9" s="83"/>
      <c r="M9" s="83"/>
      <c r="N9" s="83"/>
      <c r="O9" s="83"/>
    </row>
    <row r="10" spans="1:19" ht="18" customHeight="1">
      <c r="A10" s="46">
        <v>258</v>
      </c>
      <c r="B10" s="4" t="s">
        <v>69</v>
      </c>
      <c r="C10" s="52">
        <v>170</v>
      </c>
      <c r="D10" s="42">
        <v>46.04</v>
      </c>
      <c r="E10" s="17">
        <v>11.75</v>
      </c>
      <c r="F10" s="17">
        <v>15.3</v>
      </c>
      <c r="G10" s="17">
        <f>36.8+5.36</f>
        <v>42.16</v>
      </c>
      <c r="H10" s="17">
        <v>353.34</v>
      </c>
      <c r="I10" s="92">
        <f>E10*4</f>
        <v>47</v>
      </c>
      <c r="J10" s="92">
        <f>F10*9</f>
        <v>137.70000000000002</v>
      </c>
      <c r="K10" s="92">
        <f>G10*4</f>
        <v>168.64</v>
      </c>
      <c r="L10" s="92">
        <f>SUM(I10:K10)</f>
        <v>353.34000000000003</v>
      </c>
      <c r="M10" s="92"/>
      <c r="N10" s="92"/>
      <c r="O10" s="92"/>
      <c r="P10" s="11">
        <f>141*0.13</f>
        <v>18.330000000000002</v>
      </c>
      <c r="Q10" s="11">
        <f>0.02*263.79</f>
        <v>5.2758000000000003</v>
      </c>
      <c r="R10" s="11">
        <f>SUM(P10:Q10)</f>
        <v>23.605800000000002</v>
      </c>
    </row>
    <row r="11" spans="1:19" ht="18" customHeight="1">
      <c r="A11" s="46">
        <v>300</v>
      </c>
      <c r="B11" s="26" t="s">
        <v>30</v>
      </c>
      <c r="C11" s="52">
        <v>200</v>
      </c>
      <c r="D11" s="21">
        <v>2.5</v>
      </c>
      <c r="E11" s="4">
        <v>0.1</v>
      </c>
      <c r="F11" s="4">
        <v>0</v>
      </c>
      <c r="G11" s="4">
        <v>20.2</v>
      </c>
      <c r="H11" s="4">
        <v>81.2</v>
      </c>
      <c r="I11" s="92">
        <f>E11*4</f>
        <v>0.4</v>
      </c>
      <c r="J11" s="92">
        <f>F11*9</f>
        <v>0</v>
      </c>
      <c r="K11" s="92">
        <f>G11*4</f>
        <v>80.8</v>
      </c>
      <c r="L11" s="92">
        <f>SUM(I11:K11)</f>
        <v>81.2</v>
      </c>
      <c r="M11" s="84"/>
      <c r="N11" s="84"/>
      <c r="O11" s="84"/>
      <c r="P11" s="11">
        <v>0.56000000000000005</v>
      </c>
      <c r="Q11" s="11">
        <v>1.62</v>
      </c>
      <c r="R11" s="11">
        <f>SUM(P11:Q11)</f>
        <v>2.1800000000000002</v>
      </c>
    </row>
    <row r="12" spans="1:19" ht="18" customHeight="1">
      <c r="A12" s="46" t="s">
        <v>42</v>
      </c>
      <c r="B12" s="14" t="s">
        <v>39</v>
      </c>
      <c r="C12" s="31">
        <v>100</v>
      </c>
      <c r="D12" s="42">
        <f>23-3.46</f>
        <v>19.54</v>
      </c>
      <c r="E12" s="17">
        <v>1.8225000000000005</v>
      </c>
      <c r="F12" s="17">
        <v>0.40500000000000003</v>
      </c>
      <c r="G12" s="17">
        <v>4.6425000000000001</v>
      </c>
      <c r="H12" s="17">
        <v>29.51</v>
      </c>
      <c r="I12" s="92"/>
      <c r="J12" s="92"/>
      <c r="K12" s="92"/>
      <c r="L12" s="92"/>
      <c r="M12" s="84"/>
      <c r="N12" s="84"/>
      <c r="O12" s="84"/>
    </row>
    <row r="13" spans="1:19" s="7" customFormat="1" ht="18" customHeight="1">
      <c r="A13" s="48"/>
      <c r="B13" s="9" t="s">
        <v>22</v>
      </c>
      <c r="C13" s="51">
        <f t="shared" ref="C13:H13" si="0">SUM(C10:C12)</f>
        <v>470</v>
      </c>
      <c r="D13" s="36">
        <f t="shared" si="0"/>
        <v>68.08</v>
      </c>
      <c r="E13" s="36">
        <f t="shared" si="0"/>
        <v>13.672499999999999</v>
      </c>
      <c r="F13" s="36">
        <f t="shared" si="0"/>
        <v>15.705</v>
      </c>
      <c r="G13" s="36">
        <f t="shared" si="0"/>
        <v>67.002499999999998</v>
      </c>
      <c r="H13" s="36">
        <f t="shared" si="0"/>
        <v>464.04999999999995</v>
      </c>
      <c r="I13" s="37">
        <f>77/100*20</f>
        <v>15.4</v>
      </c>
      <c r="J13" s="37">
        <f>79/100*20</f>
        <v>15.8</v>
      </c>
      <c r="K13" s="37">
        <f>335/100*20</f>
        <v>67</v>
      </c>
      <c r="L13" s="37">
        <f>2350/100*20</f>
        <v>470</v>
      </c>
      <c r="M13" s="37"/>
      <c r="N13" s="37"/>
      <c r="O13" s="37"/>
      <c r="P13" s="88">
        <f>71.54-D13</f>
        <v>3.460000000000008</v>
      </c>
      <c r="R13" s="7">
        <f>SUM(R10:R12)</f>
        <v>25.785800000000002</v>
      </c>
    </row>
    <row r="14" spans="1:19" ht="18" customHeight="1">
      <c r="A14" s="111" t="s">
        <v>11</v>
      </c>
      <c r="B14" s="112"/>
      <c r="C14" s="55"/>
      <c r="D14" s="37"/>
      <c r="E14" s="18"/>
      <c r="F14" s="18"/>
      <c r="G14" s="18"/>
      <c r="H14" s="18"/>
      <c r="I14" s="97">
        <f>F13-I13</f>
        <v>0.30499999999999972</v>
      </c>
      <c r="J14" s="97">
        <f>F13-J13</f>
        <v>-9.5000000000000639E-2</v>
      </c>
      <c r="K14" s="97">
        <f>G13-K13</f>
        <v>2.4999999999977263E-3</v>
      </c>
      <c r="L14" s="97">
        <f>H13-L13</f>
        <v>-5.9500000000000455</v>
      </c>
      <c r="M14" s="18"/>
      <c r="N14" s="18"/>
      <c r="O14" s="18"/>
    </row>
    <row r="15" spans="1:19" ht="18" customHeight="1">
      <c r="A15" s="46">
        <v>56</v>
      </c>
      <c r="B15" s="20" t="s">
        <v>35</v>
      </c>
      <c r="C15" s="57">
        <v>200</v>
      </c>
      <c r="D15" s="21">
        <v>12.54</v>
      </c>
      <c r="E15" s="27">
        <v>2.4</v>
      </c>
      <c r="F15" s="27">
        <v>8</v>
      </c>
      <c r="G15" s="27">
        <v>30.7</v>
      </c>
      <c r="H15" s="27">
        <v>204.4</v>
      </c>
      <c r="I15" s="92">
        <f>E15*4</f>
        <v>9.6</v>
      </c>
      <c r="J15" s="92">
        <f>F15*9</f>
        <v>72</v>
      </c>
      <c r="K15" s="92">
        <f>G15*4</f>
        <v>122.8</v>
      </c>
      <c r="L15" s="92">
        <f>SUM(I15:K15)</f>
        <v>204.39999999999998</v>
      </c>
      <c r="M15" s="93"/>
      <c r="N15" s="93"/>
      <c r="O15" s="93"/>
      <c r="R15" s="11">
        <v>8.6999999999999993</v>
      </c>
      <c r="S15" s="11">
        <f>160/2.2</f>
        <v>72.72727272727272</v>
      </c>
    </row>
    <row r="16" spans="1:19" ht="18" customHeight="1">
      <c r="A16" s="46">
        <v>99</v>
      </c>
      <c r="B16" s="26" t="s">
        <v>36</v>
      </c>
      <c r="C16" s="58">
        <v>90</v>
      </c>
      <c r="D16" s="21">
        <v>32</v>
      </c>
      <c r="E16" s="14">
        <v>8</v>
      </c>
      <c r="F16" s="14">
        <v>8.1999999999999993</v>
      </c>
      <c r="G16" s="14">
        <v>10.6</v>
      </c>
      <c r="H16" s="15">
        <v>148.19999999999999</v>
      </c>
      <c r="I16" s="92">
        <f>E16*4</f>
        <v>32</v>
      </c>
      <c r="J16" s="92">
        <f>F16*9</f>
        <v>73.8</v>
      </c>
      <c r="K16" s="92">
        <f>G16*4</f>
        <v>42.4</v>
      </c>
      <c r="L16" s="92">
        <f>SUM(I16:K16)</f>
        <v>148.19999999999999</v>
      </c>
      <c r="M16" s="94"/>
      <c r="N16" s="94"/>
      <c r="O16" s="94"/>
      <c r="R16" s="11">
        <v>12.6</v>
      </c>
      <c r="S16" s="11">
        <f>S15/2</f>
        <v>36.36363636363636</v>
      </c>
    </row>
    <row r="17" spans="1:19" ht="18" customHeight="1">
      <c r="A17" s="49" t="s">
        <v>45</v>
      </c>
      <c r="B17" s="1" t="s">
        <v>21</v>
      </c>
      <c r="C17" s="58">
        <v>150</v>
      </c>
      <c r="D17" s="21">
        <v>12</v>
      </c>
      <c r="E17" s="14">
        <v>10.6</v>
      </c>
      <c r="F17" s="14">
        <v>6.8</v>
      </c>
      <c r="G17" s="14">
        <v>25.3</v>
      </c>
      <c r="H17" s="15">
        <v>204.8</v>
      </c>
      <c r="I17" s="92">
        <f>E17*4</f>
        <v>42.4</v>
      </c>
      <c r="J17" s="92">
        <f>F17*9</f>
        <v>61.199999999999996</v>
      </c>
      <c r="K17" s="92">
        <f>G17*4</f>
        <v>101.2</v>
      </c>
      <c r="L17" s="92">
        <f>SUM(I17:K17)</f>
        <v>204.8</v>
      </c>
      <c r="M17" s="94"/>
      <c r="N17" s="94"/>
      <c r="O17" s="94"/>
      <c r="R17" s="11">
        <v>5.25</v>
      </c>
      <c r="S17" s="82">
        <f>71.54/S16-1</f>
        <v>0.96735000000000038</v>
      </c>
    </row>
    <row r="18" spans="1:19" ht="18" customHeight="1">
      <c r="A18" s="46">
        <v>310</v>
      </c>
      <c r="B18" s="4" t="s">
        <v>34</v>
      </c>
      <c r="C18" s="57">
        <v>200</v>
      </c>
      <c r="D18" s="21">
        <v>8</v>
      </c>
      <c r="E18" s="22">
        <v>0.5</v>
      </c>
      <c r="F18" s="22">
        <v>0.1</v>
      </c>
      <c r="G18" s="22">
        <v>23.9</v>
      </c>
      <c r="H18" s="22">
        <v>98.5</v>
      </c>
      <c r="I18" s="92">
        <f>E18*4</f>
        <v>2</v>
      </c>
      <c r="J18" s="92">
        <f>F18*9</f>
        <v>0.9</v>
      </c>
      <c r="K18" s="92">
        <f>G18*4</f>
        <v>95.6</v>
      </c>
      <c r="L18" s="92">
        <f>SUM(I18:K18)</f>
        <v>98.5</v>
      </c>
      <c r="M18" s="95"/>
      <c r="N18" s="95"/>
      <c r="O18" s="95"/>
      <c r="R18" s="11">
        <v>3</v>
      </c>
    </row>
    <row r="19" spans="1:19" s="8" customFormat="1" ht="18" customHeight="1">
      <c r="A19" s="49" t="s">
        <v>44</v>
      </c>
      <c r="B19" s="4" t="s">
        <v>5</v>
      </c>
      <c r="C19" s="52">
        <v>30</v>
      </c>
      <c r="D19" s="21">
        <v>3.54</v>
      </c>
      <c r="E19" s="2">
        <f>6.6/100*30</f>
        <v>1.98</v>
      </c>
      <c r="F19" s="53">
        <f>1.2/100*30</f>
        <v>0.36</v>
      </c>
      <c r="G19" s="2">
        <f>33.4/100*30</f>
        <v>10.02</v>
      </c>
      <c r="H19" s="2">
        <v>51.24</v>
      </c>
      <c r="I19" s="92">
        <f>E19*4</f>
        <v>7.92</v>
      </c>
      <c r="J19" s="92">
        <f>F19*9</f>
        <v>3.2399999999999998</v>
      </c>
      <c r="K19" s="92">
        <f>G19*4</f>
        <v>40.08</v>
      </c>
      <c r="L19" s="92">
        <f>SUM(I19:K19)</f>
        <v>51.239999999999995</v>
      </c>
      <c r="M19" s="85"/>
      <c r="N19" s="85"/>
      <c r="O19" s="85"/>
      <c r="R19" s="8">
        <v>1.57</v>
      </c>
    </row>
    <row r="20" spans="1:19" s="8" customFormat="1" ht="18" customHeight="1">
      <c r="A20" s="48"/>
      <c r="B20" s="9" t="s">
        <v>22</v>
      </c>
      <c r="C20" s="51">
        <f t="shared" ref="C20:H20" si="1">SUM(C15:C19)</f>
        <v>670</v>
      </c>
      <c r="D20" s="36">
        <f t="shared" si="1"/>
        <v>68.08</v>
      </c>
      <c r="E20" s="36">
        <f t="shared" si="1"/>
        <v>23.48</v>
      </c>
      <c r="F20" s="36">
        <f t="shared" si="1"/>
        <v>23.46</v>
      </c>
      <c r="G20" s="36">
        <f t="shared" si="1"/>
        <v>100.52</v>
      </c>
      <c r="H20" s="36">
        <f t="shared" si="1"/>
        <v>707.1400000000001</v>
      </c>
      <c r="I20" s="37">
        <f>77/100*30</f>
        <v>23.1</v>
      </c>
      <c r="J20" s="37">
        <f>79/100*30</f>
        <v>23.700000000000003</v>
      </c>
      <c r="K20" s="37">
        <f>335/100*30</f>
        <v>100.5</v>
      </c>
      <c r="L20" s="37">
        <f>2350/100*30</f>
        <v>705</v>
      </c>
      <c r="M20" s="37"/>
      <c r="N20" s="37"/>
      <c r="O20" s="37"/>
      <c r="R20" s="8">
        <v>7.5</v>
      </c>
    </row>
    <row r="21" spans="1:19" ht="18" customHeight="1">
      <c r="A21" s="48"/>
      <c r="B21" s="3" t="s">
        <v>9</v>
      </c>
      <c r="C21" s="51"/>
      <c r="D21" s="68"/>
      <c r="E21" s="36">
        <f>E13+E20</f>
        <v>37.152500000000003</v>
      </c>
      <c r="F21" s="36">
        <f>F13+F20</f>
        <v>39.164999999999999</v>
      </c>
      <c r="G21" s="36">
        <f>G13+G20</f>
        <v>167.52249999999998</v>
      </c>
      <c r="H21" s="36">
        <f>H13+H20</f>
        <v>1171.19</v>
      </c>
      <c r="I21" s="96"/>
      <c r="J21" s="96"/>
      <c r="K21" s="96"/>
      <c r="L21" s="96"/>
      <c r="M21" s="96"/>
      <c r="N21" s="96"/>
      <c r="O21" s="96"/>
      <c r="R21" s="11">
        <f>SUM(R15:R20)</f>
        <v>38.619999999999997</v>
      </c>
    </row>
    <row r="22" spans="1:19" ht="18" customHeight="1">
      <c r="A22" s="73"/>
      <c r="B22" s="23"/>
      <c r="C22" s="74"/>
      <c r="D22" s="75"/>
      <c r="E22" s="76"/>
      <c r="F22" s="76"/>
      <c r="G22" s="76"/>
      <c r="H22" s="76"/>
      <c r="I22" s="97"/>
      <c r="J22" s="97"/>
      <c r="K22" s="97"/>
      <c r="L22" s="97"/>
      <c r="M22" s="97"/>
      <c r="N22" s="97"/>
      <c r="O22" s="97"/>
    </row>
    <row r="23" spans="1:19" ht="18" customHeight="1">
      <c r="A23" s="117" t="s">
        <v>16</v>
      </c>
      <c r="B23" s="118"/>
      <c r="C23" s="54"/>
      <c r="D23" s="23"/>
      <c r="E23" s="23"/>
      <c r="F23" s="23"/>
      <c r="G23" s="23"/>
      <c r="H23" s="23"/>
      <c r="I23" s="18"/>
      <c r="J23" s="18"/>
      <c r="K23" s="18"/>
      <c r="L23" s="18"/>
      <c r="M23" s="18"/>
      <c r="N23" s="18"/>
      <c r="O23" s="18"/>
    </row>
    <row r="24" spans="1:19" ht="18" customHeight="1">
      <c r="A24" s="116" t="s">
        <v>10</v>
      </c>
      <c r="B24" s="113"/>
      <c r="C24" s="45"/>
      <c r="D24" s="38"/>
      <c r="E24" s="24"/>
      <c r="F24" s="69"/>
      <c r="G24" s="24"/>
      <c r="H24" s="24"/>
      <c r="I24" s="18"/>
      <c r="J24" s="18"/>
      <c r="K24" s="18"/>
      <c r="L24" s="18"/>
      <c r="M24" s="18"/>
      <c r="N24" s="18"/>
      <c r="O24" s="18"/>
    </row>
    <row r="25" spans="1:19" ht="18" customHeight="1">
      <c r="A25" s="46">
        <v>107</v>
      </c>
      <c r="B25" s="25" t="s">
        <v>50</v>
      </c>
      <c r="C25" s="57">
        <v>90</v>
      </c>
      <c r="D25" s="21">
        <v>41.6</v>
      </c>
      <c r="E25" s="22">
        <f>8+1.82</f>
        <v>9.82</v>
      </c>
      <c r="F25" s="22">
        <f>7.2+2.84</f>
        <v>10.039999999999999</v>
      </c>
      <c r="G25" s="22">
        <f>6.3+4.48</f>
        <v>10.780000000000001</v>
      </c>
      <c r="H25" s="22">
        <v>172.76</v>
      </c>
      <c r="I25" s="92">
        <f>E25*4</f>
        <v>39.28</v>
      </c>
      <c r="J25" s="92">
        <f>F25*9</f>
        <v>90.359999999999985</v>
      </c>
      <c r="K25" s="92">
        <f>G25*4</f>
        <v>43.120000000000005</v>
      </c>
      <c r="L25" s="92">
        <f>SUM(I25:K25)</f>
        <v>172.76</v>
      </c>
      <c r="M25" s="95"/>
      <c r="N25" s="95"/>
      <c r="O25" s="95"/>
      <c r="R25" s="11">
        <v>12.3</v>
      </c>
    </row>
    <row r="26" spans="1:19" ht="18" customHeight="1">
      <c r="A26" s="46">
        <v>227</v>
      </c>
      <c r="B26" s="28" t="s">
        <v>20</v>
      </c>
      <c r="C26" s="52">
        <v>150</v>
      </c>
      <c r="D26" s="42">
        <f>16.67-0.13</f>
        <v>16.540000000000003</v>
      </c>
      <c r="E26" s="17">
        <v>3.5</v>
      </c>
      <c r="F26" s="17">
        <v>5.4</v>
      </c>
      <c r="G26" s="17">
        <v>31</v>
      </c>
      <c r="H26" s="17">
        <v>186.6</v>
      </c>
      <c r="I26" s="92">
        <f>E26*4</f>
        <v>14</v>
      </c>
      <c r="J26" s="92">
        <f>F26*9</f>
        <v>48.6</v>
      </c>
      <c r="K26" s="92">
        <f>G26*4</f>
        <v>124</v>
      </c>
      <c r="L26" s="92">
        <f>SUM(I26:K26)</f>
        <v>186.6</v>
      </c>
      <c r="M26" s="92"/>
      <c r="N26" s="92"/>
      <c r="O26" s="92"/>
      <c r="P26" s="11">
        <v>0.79</v>
      </c>
      <c r="Q26" s="11">
        <v>2.1800000000000002</v>
      </c>
      <c r="R26" s="11">
        <f>P26+Q26</f>
        <v>2.97</v>
      </c>
    </row>
    <row r="27" spans="1:19" s="8" customFormat="1" ht="18" customHeight="1">
      <c r="A27" s="46">
        <v>307</v>
      </c>
      <c r="B27" s="26" t="s">
        <v>61</v>
      </c>
      <c r="C27" s="57">
        <v>200</v>
      </c>
      <c r="D27" s="21">
        <v>3.4</v>
      </c>
      <c r="E27" s="4">
        <v>0.1</v>
      </c>
      <c r="F27" s="4">
        <v>0</v>
      </c>
      <c r="G27" s="4">
        <v>15.2</v>
      </c>
      <c r="H27" s="78">
        <v>61</v>
      </c>
      <c r="I27" s="92">
        <f>E27*4</f>
        <v>0.4</v>
      </c>
      <c r="J27" s="92">
        <f>F27*9</f>
        <v>0</v>
      </c>
      <c r="K27" s="92">
        <f>G27*4</f>
        <v>60.8</v>
      </c>
      <c r="L27" s="92">
        <f>SUM(I27:K27)</f>
        <v>61.199999999999996</v>
      </c>
      <c r="M27" s="98"/>
      <c r="N27" s="98"/>
      <c r="O27" s="98"/>
      <c r="R27" s="8">
        <v>4.45</v>
      </c>
    </row>
    <row r="28" spans="1:19" ht="18" customHeight="1">
      <c r="A28" s="49" t="s">
        <v>44</v>
      </c>
      <c r="B28" s="4" t="s">
        <v>59</v>
      </c>
      <c r="C28" s="52">
        <v>30</v>
      </c>
      <c r="D28" s="21">
        <v>6.54</v>
      </c>
      <c r="E28" s="2">
        <f>6.6/100*30</f>
        <v>1.98</v>
      </c>
      <c r="F28" s="53">
        <f>1.2/100*30</f>
        <v>0.36</v>
      </c>
      <c r="G28" s="2">
        <f>33.4/100*30</f>
        <v>10.02</v>
      </c>
      <c r="H28" s="2">
        <v>51.24</v>
      </c>
      <c r="I28" s="92">
        <f>E28*4</f>
        <v>7.92</v>
      </c>
      <c r="J28" s="92">
        <f>F28*9</f>
        <v>3.2399999999999998</v>
      </c>
      <c r="K28" s="92">
        <f>G28*4</f>
        <v>40.08</v>
      </c>
      <c r="L28" s="92">
        <f>SUM(I28:K28)</f>
        <v>51.239999999999995</v>
      </c>
      <c r="M28" s="85"/>
      <c r="N28" s="85"/>
      <c r="O28" s="85"/>
      <c r="R28" s="11">
        <v>3.15</v>
      </c>
    </row>
    <row r="29" spans="1:19" ht="18" customHeight="1">
      <c r="A29" s="47"/>
      <c r="B29" s="9" t="s">
        <v>22</v>
      </c>
      <c r="C29" s="51">
        <f t="shared" ref="C29:H29" si="2">SUM(C25:C28)</f>
        <v>470</v>
      </c>
      <c r="D29" s="36">
        <f t="shared" si="2"/>
        <v>68.08</v>
      </c>
      <c r="E29" s="36">
        <f t="shared" si="2"/>
        <v>15.4</v>
      </c>
      <c r="F29" s="36">
        <f t="shared" si="2"/>
        <v>15.799999999999999</v>
      </c>
      <c r="G29" s="36">
        <f t="shared" si="2"/>
        <v>67</v>
      </c>
      <c r="H29" s="36">
        <f t="shared" si="2"/>
        <v>471.6</v>
      </c>
      <c r="I29" s="37">
        <f>77/100*20</f>
        <v>15.4</v>
      </c>
      <c r="J29" s="37">
        <f>79/100*20</f>
        <v>15.8</v>
      </c>
      <c r="K29" s="37">
        <f>335/100*20</f>
        <v>67</v>
      </c>
      <c r="L29" s="37">
        <f>2350/100*20</f>
        <v>470</v>
      </c>
      <c r="M29" s="37"/>
      <c r="N29" s="37"/>
      <c r="O29" s="37"/>
      <c r="P29" s="11">
        <f>71.54-60.54</f>
        <v>11.000000000000007</v>
      </c>
      <c r="R29" s="11">
        <f>SUM(R25:R28)</f>
        <v>22.87</v>
      </c>
      <c r="S29" s="89">
        <f>71.54-D29</f>
        <v>3.460000000000008</v>
      </c>
    </row>
    <row r="30" spans="1:19" ht="18" customHeight="1">
      <c r="A30" s="111" t="s">
        <v>11</v>
      </c>
      <c r="B30" s="112"/>
      <c r="C30" s="55"/>
      <c r="D30" s="37"/>
      <c r="E30" s="18"/>
      <c r="F30" s="18"/>
      <c r="G30" s="18"/>
      <c r="H30" s="18"/>
      <c r="I30" s="97">
        <f>E29-I29</f>
        <v>0</v>
      </c>
      <c r="J30" s="97">
        <f>F29-J29</f>
        <v>0</v>
      </c>
      <c r="K30" s="97">
        <f>G29-K29</f>
        <v>0</v>
      </c>
      <c r="L30" s="97">
        <f>H29-L29</f>
        <v>1.6000000000000227</v>
      </c>
      <c r="M30" s="18"/>
      <c r="N30" s="18"/>
      <c r="O30" s="18"/>
    </row>
    <row r="31" spans="1:19" ht="18" customHeight="1">
      <c r="A31" s="46">
        <v>55</v>
      </c>
      <c r="B31" s="14" t="s">
        <v>32</v>
      </c>
      <c r="C31" s="58">
        <v>200</v>
      </c>
      <c r="D31" s="42">
        <f>15/230*200-0.32</f>
        <v>12.723478260869564</v>
      </c>
      <c r="E31" s="19">
        <v>8.25</v>
      </c>
      <c r="F31" s="19">
        <v>9.6999999999999993</v>
      </c>
      <c r="G31" s="19">
        <v>31.8</v>
      </c>
      <c r="H31" s="19">
        <v>247.5</v>
      </c>
      <c r="I31" s="92">
        <f t="shared" ref="I31:I36" si="3">E31*4</f>
        <v>33</v>
      </c>
      <c r="J31" s="92">
        <f t="shared" ref="J31:J36" si="4">F31*9</f>
        <v>87.3</v>
      </c>
      <c r="K31" s="92">
        <f t="shared" ref="K31:K36" si="5">G31*4</f>
        <v>127.2</v>
      </c>
      <c r="L31" s="92">
        <f t="shared" ref="L31:L36" si="6">SUM(I31:K31)</f>
        <v>247.5</v>
      </c>
      <c r="M31" s="99"/>
      <c r="N31" s="99"/>
      <c r="O31" s="99"/>
      <c r="R31" s="11">
        <v>8.42</v>
      </c>
    </row>
    <row r="32" spans="1:19" ht="18" customHeight="1">
      <c r="A32" s="46">
        <v>136</v>
      </c>
      <c r="B32" s="26" t="s">
        <v>51</v>
      </c>
      <c r="C32" s="58">
        <v>90</v>
      </c>
      <c r="D32" s="42">
        <v>32</v>
      </c>
      <c r="E32" s="21">
        <v>8.5</v>
      </c>
      <c r="F32" s="21">
        <f>19.3-12</f>
        <v>7.3000000000000007</v>
      </c>
      <c r="G32" s="21">
        <v>8.9</v>
      </c>
      <c r="H32" s="21">
        <v>135.30000000000001</v>
      </c>
      <c r="I32" s="92">
        <f t="shared" si="3"/>
        <v>34</v>
      </c>
      <c r="J32" s="92">
        <f t="shared" si="4"/>
        <v>65.7</v>
      </c>
      <c r="K32" s="92">
        <f t="shared" si="5"/>
        <v>35.6</v>
      </c>
      <c r="L32" s="92">
        <f t="shared" si="6"/>
        <v>135.30000000000001</v>
      </c>
      <c r="M32" s="100"/>
      <c r="N32" s="100"/>
      <c r="O32" s="100"/>
      <c r="R32" s="11">
        <v>12.6</v>
      </c>
    </row>
    <row r="33" spans="1:23" ht="18" customHeight="1">
      <c r="A33" s="46">
        <v>146</v>
      </c>
      <c r="B33" s="26" t="s">
        <v>27</v>
      </c>
      <c r="C33" s="52">
        <v>150</v>
      </c>
      <c r="D33" s="42">
        <v>15</v>
      </c>
      <c r="E33" s="22">
        <v>4.0999999999999996</v>
      </c>
      <c r="F33" s="22">
        <v>6.3</v>
      </c>
      <c r="G33" s="22">
        <v>26.7</v>
      </c>
      <c r="H33" s="22">
        <v>179.9</v>
      </c>
      <c r="I33" s="92">
        <f t="shared" si="3"/>
        <v>16.399999999999999</v>
      </c>
      <c r="J33" s="92">
        <f t="shared" si="4"/>
        <v>56.699999999999996</v>
      </c>
      <c r="K33" s="92">
        <f t="shared" si="5"/>
        <v>106.8</v>
      </c>
      <c r="L33" s="92">
        <f t="shared" si="6"/>
        <v>179.89999999999998</v>
      </c>
      <c r="M33" s="95"/>
      <c r="N33" s="95"/>
      <c r="O33" s="95"/>
      <c r="R33" s="11">
        <v>10</v>
      </c>
    </row>
    <row r="34" spans="1:23" ht="18" customHeight="1">
      <c r="A34" s="46">
        <v>320</v>
      </c>
      <c r="B34" s="14" t="s">
        <v>33</v>
      </c>
      <c r="C34" s="58">
        <v>200</v>
      </c>
      <c r="D34" s="42">
        <v>6</v>
      </c>
      <c r="E34" s="14">
        <v>0.99</v>
      </c>
      <c r="F34" s="14"/>
      <c r="G34" s="14">
        <v>22.94</v>
      </c>
      <c r="H34" s="14">
        <v>95.72</v>
      </c>
      <c r="I34" s="92">
        <f t="shared" si="3"/>
        <v>3.96</v>
      </c>
      <c r="J34" s="92">
        <f t="shared" si="4"/>
        <v>0</v>
      </c>
      <c r="K34" s="92">
        <f t="shared" si="5"/>
        <v>91.76</v>
      </c>
      <c r="L34" s="92">
        <f t="shared" si="6"/>
        <v>95.72</v>
      </c>
      <c r="M34" s="101"/>
      <c r="N34" s="101"/>
      <c r="O34" s="101"/>
      <c r="R34" s="11">
        <v>1.8</v>
      </c>
    </row>
    <row r="35" spans="1:23" s="8" customFormat="1" ht="18" customHeight="1">
      <c r="A35" s="49" t="s">
        <v>44</v>
      </c>
      <c r="B35" s="4" t="s">
        <v>5</v>
      </c>
      <c r="C35" s="52">
        <v>30</v>
      </c>
      <c r="D35" s="42">
        <v>2.36</v>
      </c>
      <c r="E35" s="2">
        <f>6.6/100*30</f>
        <v>1.98</v>
      </c>
      <c r="F35" s="53">
        <f>1.2/100*30</f>
        <v>0.36</v>
      </c>
      <c r="G35" s="2">
        <f>33.4/100*30</f>
        <v>10.02</v>
      </c>
      <c r="H35" s="2">
        <v>51.24</v>
      </c>
      <c r="I35" s="92">
        <f t="shared" si="3"/>
        <v>7.92</v>
      </c>
      <c r="J35" s="92">
        <f t="shared" si="4"/>
        <v>3.2399999999999998</v>
      </c>
      <c r="K35" s="92">
        <f t="shared" si="5"/>
        <v>40.08</v>
      </c>
      <c r="L35" s="92">
        <f t="shared" si="6"/>
        <v>51.239999999999995</v>
      </c>
      <c r="M35" s="85"/>
      <c r="N35" s="85"/>
      <c r="O35" s="85"/>
      <c r="R35" s="8">
        <v>1.57</v>
      </c>
    </row>
    <row r="36" spans="1:23" s="8" customFormat="1" ht="18" customHeight="1">
      <c r="A36" s="48"/>
      <c r="B36" s="9" t="s">
        <v>22</v>
      </c>
      <c r="C36" s="51">
        <f t="shared" ref="C36:W36" si="7">SUM(C31:C35)</f>
        <v>670</v>
      </c>
      <c r="D36" s="87">
        <f t="shared" si="7"/>
        <v>68.083478260869569</v>
      </c>
      <c r="E36" s="87">
        <f t="shared" si="7"/>
        <v>23.82</v>
      </c>
      <c r="F36" s="87">
        <f t="shared" si="7"/>
        <v>23.66</v>
      </c>
      <c r="G36" s="87">
        <f t="shared" si="7"/>
        <v>100.36</v>
      </c>
      <c r="H36" s="87">
        <f t="shared" si="7"/>
        <v>709.66000000000008</v>
      </c>
      <c r="I36" s="92">
        <f t="shared" si="3"/>
        <v>95.28</v>
      </c>
      <c r="J36" s="92">
        <f t="shared" si="4"/>
        <v>212.94</v>
      </c>
      <c r="K36" s="92">
        <f t="shared" si="5"/>
        <v>401.44</v>
      </c>
      <c r="L36" s="92">
        <f t="shared" si="6"/>
        <v>709.66000000000008</v>
      </c>
      <c r="M36" s="87"/>
      <c r="N36" s="87"/>
      <c r="O36" s="87"/>
      <c r="P36" s="51">
        <f t="shared" si="7"/>
        <v>0</v>
      </c>
      <c r="Q36" s="51">
        <f t="shared" si="7"/>
        <v>0</v>
      </c>
      <c r="R36" s="51">
        <f t="shared" si="7"/>
        <v>34.39</v>
      </c>
      <c r="S36" s="51">
        <f t="shared" si="7"/>
        <v>0</v>
      </c>
      <c r="T36" s="51">
        <f t="shared" si="7"/>
        <v>0</v>
      </c>
      <c r="U36" s="51">
        <f t="shared" si="7"/>
        <v>0</v>
      </c>
      <c r="V36" s="51">
        <f t="shared" si="7"/>
        <v>0</v>
      </c>
      <c r="W36" s="51">
        <f t="shared" si="7"/>
        <v>0</v>
      </c>
    </row>
    <row r="37" spans="1:23" ht="18" customHeight="1">
      <c r="A37" s="48"/>
      <c r="B37" s="3" t="s">
        <v>9</v>
      </c>
      <c r="C37" s="51"/>
      <c r="D37" s="36"/>
      <c r="E37" s="36">
        <f>E29+E36</f>
        <v>39.22</v>
      </c>
      <c r="F37" s="36">
        <f>F29+F36</f>
        <v>39.46</v>
      </c>
      <c r="G37" s="36">
        <f>G29+G36</f>
        <v>167.36</v>
      </c>
      <c r="H37" s="36">
        <f>H29+H36</f>
        <v>1181.2600000000002</v>
      </c>
      <c r="I37" s="37">
        <f>77/100*30</f>
        <v>23.1</v>
      </c>
      <c r="J37" s="37">
        <f>79/100*30</f>
        <v>23.700000000000003</v>
      </c>
      <c r="K37" s="37">
        <f>335/100*30</f>
        <v>100.5</v>
      </c>
      <c r="L37" s="37">
        <f>2350/100*30</f>
        <v>705</v>
      </c>
      <c r="M37" s="37"/>
      <c r="N37" s="37"/>
      <c r="O37" s="37"/>
    </row>
    <row r="38" spans="1:23" ht="30" customHeight="1">
      <c r="A38" s="118" t="s">
        <v>17</v>
      </c>
      <c r="B38" s="118"/>
      <c r="C38" s="54"/>
      <c r="D38" s="23"/>
      <c r="E38" s="23"/>
      <c r="F38" s="23"/>
      <c r="G38" s="23"/>
      <c r="H38" s="23"/>
      <c r="I38" s="18"/>
      <c r="J38" s="18"/>
      <c r="K38" s="18"/>
      <c r="L38" s="18"/>
      <c r="M38" s="18"/>
      <c r="N38" s="18"/>
      <c r="O38" s="18"/>
    </row>
    <row r="39" spans="1:23" ht="15.75">
      <c r="A39" s="113" t="s">
        <v>12</v>
      </c>
      <c r="B39" s="113"/>
      <c r="C39" s="45"/>
      <c r="D39" s="3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1:23" ht="18" customHeight="1">
      <c r="A40" s="46">
        <v>208</v>
      </c>
      <c r="B40" s="4" t="s">
        <v>72</v>
      </c>
      <c r="C40" s="52">
        <v>200</v>
      </c>
      <c r="D40" s="42">
        <f>30-3.46</f>
        <v>26.54</v>
      </c>
      <c r="E40" s="17">
        <v>8.2716049382716061</v>
      </c>
      <c r="F40" s="17">
        <v>12.744938271604934</v>
      </c>
      <c r="G40" s="17">
        <v>40.246913580246911</v>
      </c>
      <c r="H40" s="77">
        <v>308.77777777777777</v>
      </c>
      <c r="I40" s="92">
        <f>E40*4</f>
        <v>33.086419753086425</v>
      </c>
      <c r="J40" s="92">
        <f>F40*9</f>
        <v>114.70444444444441</v>
      </c>
      <c r="K40" s="92">
        <f>G40*4</f>
        <v>160.98765432098764</v>
      </c>
      <c r="L40" s="92">
        <f>SUM(I40:K40)</f>
        <v>308.77851851851847</v>
      </c>
      <c r="M40" s="102"/>
      <c r="N40" s="102"/>
      <c r="O40" s="102"/>
      <c r="R40" s="11">
        <v>12.6</v>
      </c>
      <c r="S40" s="46">
        <v>99</v>
      </c>
    </row>
    <row r="41" spans="1:23" ht="18" customHeight="1">
      <c r="A41" s="49" t="s">
        <v>43</v>
      </c>
      <c r="B41" s="4" t="s">
        <v>71</v>
      </c>
      <c r="C41" s="52">
        <v>50</v>
      </c>
      <c r="D41" s="21">
        <v>24</v>
      </c>
      <c r="E41" s="4">
        <f>7.9/100*30</f>
        <v>2.37</v>
      </c>
      <c r="F41" s="4">
        <f>1/100*30</f>
        <v>0.3</v>
      </c>
      <c r="G41" s="4">
        <f>48.3/100*30</f>
        <v>14.49</v>
      </c>
      <c r="H41" s="4">
        <v>70.14</v>
      </c>
      <c r="I41" s="92">
        <f>E41*4</f>
        <v>9.48</v>
      </c>
      <c r="J41" s="92">
        <f>F41*9</f>
        <v>2.6999999999999997</v>
      </c>
      <c r="K41" s="92">
        <f>G41*4</f>
        <v>57.96</v>
      </c>
      <c r="L41" s="92">
        <f>SUM(I41:K41)</f>
        <v>70.14</v>
      </c>
      <c r="M41" s="84"/>
      <c r="N41" s="84"/>
      <c r="O41" s="84"/>
      <c r="P41" s="11">
        <v>7.53</v>
      </c>
      <c r="Q41" s="11">
        <v>1.65</v>
      </c>
      <c r="R41" s="11">
        <f>SUM(P41:Q41)</f>
        <v>9.18</v>
      </c>
    </row>
    <row r="42" spans="1:23" ht="18" customHeight="1">
      <c r="A42" s="46">
        <v>304</v>
      </c>
      <c r="B42" s="2" t="s">
        <v>38</v>
      </c>
      <c r="C42" s="52">
        <v>200</v>
      </c>
      <c r="D42" s="42">
        <v>17.54</v>
      </c>
      <c r="E42" s="4">
        <v>2.9</v>
      </c>
      <c r="F42" s="4">
        <v>2.8</v>
      </c>
      <c r="G42" s="4">
        <v>14.9</v>
      </c>
      <c r="H42" s="4">
        <v>94</v>
      </c>
      <c r="I42" s="92">
        <f>E42*4</f>
        <v>11.6</v>
      </c>
      <c r="J42" s="92">
        <f>F42*9</f>
        <v>25.2</v>
      </c>
      <c r="K42" s="92">
        <f>G42*4</f>
        <v>59.6</v>
      </c>
      <c r="L42" s="92">
        <f>SUM(I42:K42)</f>
        <v>96.4</v>
      </c>
      <c r="M42" s="84"/>
      <c r="N42" s="84"/>
      <c r="O42" s="84"/>
      <c r="R42" s="11">
        <v>1.57</v>
      </c>
    </row>
    <row r="43" spans="1:23" ht="18" customHeight="1">
      <c r="A43" s="48"/>
      <c r="B43" s="9" t="s">
        <v>22</v>
      </c>
      <c r="C43" s="51">
        <f t="shared" ref="C43:H43" si="8">SUM(C40:C42)</f>
        <v>450</v>
      </c>
      <c r="D43" s="36">
        <f t="shared" si="8"/>
        <v>68.08</v>
      </c>
      <c r="E43" s="5">
        <f t="shared" si="8"/>
        <v>13.541604938271606</v>
      </c>
      <c r="F43" s="5">
        <f t="shared" si="8"/>
        <v>15.844938271604935</v>
      </c>
      <c r="G43" s="5">
        <f t="shared" si="8"/>
        <v>69.636913580246912</v>
      </c>
      <c r="H43" s="5">
        <f t="shared" si="8"/>
        <v>472.91777777777776</v>
      </c>
      <c r="I43" s="37">
        <f>77/100*20</f>
        <v>15.4</v>
      </c>
      <c r="J43" s="37">
        <f>79/100*20</f>
        <v>15.8</v>
      </c>
      <c r="K43" s="37">
        <f>335/100*20</f>
        <v>67</v>
      </c>
      <c r="L43" s="37">
        <f>2350/100*20</f>
        <v>470</v>
      </c>
      <c r="M43" s="10"/>
      <c r="N43" s="10"/>
      <c r="O43" s="10"/>
      <c r="P43" s="11">
        <f>102.86*0.03</f>
        <v>3.0857999999999999</v>
      </c>
      <c r="Q43" s="11">
        <f>307*0.02</f>
        <v>6.1400000000000006</v>
      </c>
      <c r="R43" s="11">
        <f>SUM(P43:Q43)</f>
        <v>9.2257999999999996</v>
      </c>
    </row>
    <row r="44" spans="1:23" ht="18" customHeight="1">
      <c r="A44" s="111" t="s">
        <v>11</v>
      </c>
      <c r="B44" s="112"/>
      <c r="C44" s="55"/>
      <c r="D44" s="37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23" ht="18" customHeight="1">
      <c r="A45" s="49" t="s">
        <v>47</v>
      </c>
      <c r="B45" s="26" t="s">
        <v>24</v>
      </c>
      <c r="C45" s="57">
        <v>15</v>
      </c>
      <c r="D45" s="21">
        <f>6.6-0.16-1.04</f>
        <v>5.3999999999999995</v>
      </c>
      <c r="E45" s="67">
        <v>0.8</v>
      </c>
      <c r="F45" s="32">
        <v>0.13333333333333333</v>
      </c>
      <c r="G45" s="32">
        <v>2.5333333333333332</v>
      </c>
      <c r="H45" s="32">
        <v>14.53</v>
      </c>
      <c r="I45" s="92">
        <f>E45*4</f>
        <v>3.2</v>
      </c>
      <c r="J45" s="92">
        <f>F45*9</f>
        <v>1.2</v>
      </c>
      <c r="K45" s="92">
        <f>G45*4</f>
        <v>10.133333333333333</v>
      </c>
      <c r="L45" s="92">
        <f>SUM(I45:K45)</f>
        <v>14.533333333333333</v>
      </c>
      <c r="M45" s="103"/>
      <c r="N45" s="103"/>
      <c r="O45" s="103"/>
      <c r="R45" s="11">
        <v>7.4</v>
      </c>
    </row>
    <row r="46" spans="1:23" ht="18" customHeight="1">
      <c r="A46" s="46">
        <v>62</v>
      </c>
      <c r="B46" s="1" t="s">
        <v>37</v>
      </c>
      <c r="C46" s="30">
        <v>250</v>
      </c>
      <c r="D46" s="21">
        <v>20</v>
      </c>
      <c r="E46" s="16">
        <v>5.8</v>
      </c>
      <c r="F46" s="16">
        <v>4.3</v>
      </c>
      <c r="G46" s="16">
        <v>27.8</v>
      </c>
      <c r="H46" s="4">
        <v>173.1</v>
      </c>
      <c r="I46" s="92">
        <f>E46*4</f>
        <v>23.2</v>
      </c>
      <c r="J46" s="92">
        <f>F46*9</f>
        <v>38.699999999999996</v>
      </c>
      <c r="K46" s="92">
        <f>G46*4</f>
        <v>111.2</v>
      </c>
      <c r="L46" s="92">
        <f>SUM(I46:K46)</f>
        <v>173.1</v>
      </c>
      <c r="M46" s="84"/>
      <c r="N46" s="84"/>
      <c r="O46" s="84"/>
      <c r="R46" s="11">
        <v>8.6999999999999993</v>
      </c>
    </row>
    <row r="47" spans="1:23" ht="18" customHeight="1">
      <c r="A47" s="46">
        <v>391</v>
      </c>
      <c r="B47" s="28" t="s">
        <v>73</v>
      </c>
      <c r="C47" s="31">
        <v>180</v>
      </c>
      <c r="D47" s="21">
        <v>30.46</v>
      </c>
      <c r="E47" s="32">
        <f>18.33-4</f>
        <v>14.329999999999998</v>
      </c>
      <c r="F47" s="32">
        <f>10.7/180*150+4.62+5.3</f>
        <v>18.836666666666666</v>
      </c>
      <c r="G47" s="32">
        <f>39.78+3.2</f>
        <v>42.980000000000004</v>
      </c>
      <c r="H47" s="32">
        <v>398.77</v>
      </c>
      <c r="I47" s="92">
        <f>E47*4</f>
        <v>57.319999999999993</v>
      </c>
      <c r="J47" s="92">
        <f>F47*9</f>
        <v>169.53</v>
      </c>
      <c r="K47" s="92">
        <f>G47*4</f>
        <v>171.92000000000002</v>
      </c>
      <c r="L47" s="92">
        <f>SUM(I47:K47)</f>
        <v>398.77</v>
      </c>
      <c r="M47" s="103"/>
      <c r="N47" s="103"/>
      <c r="O47" s="103"/>
      <c r="R47" s="11">
        <v>18.899999999999999</v>
      </c>
    </row>
    <row r="48" spans="1:23" s="8" customFormat="1" ht="18" customHeight="1">
      <c r="A48" s="46">
        <v>311</v>
      </c>
      <c r="B48" s="13" t="s">
        <v>28</v>
      </c>
      <c r="C48" s="31">
        <v>200</v>
      </c>
      <c r="D48" s="21">
        <v>7.5</v>
      </c>
      <c r="E48" s="22">
        <v>0.2</v>
      </c>
      <c r="F48" s="22">
        <v>0.1</v>
      </c>
      <c r="G48" s="22">
        <v>17.2</v>
      </c>
      <c r="H48" s="13">
        <v>70</v>
      </c>
      <c r="I48" s="92">
        <f>E48*4</f>
        <v>0.8</v>
      </c>
      <c r="J48" s="92">
        <f>F48*9</f>
        <v>0.9</v>
      </c>
      <c r="K48" s="92">
        <f>G48*4</f>
        <v>68.8</v>
      </c>
      <c r="L48" s="92">
        <f>SUM(I48:K48)</f>
        <v>70.5</v>
      </c>
      <c r="M48" s="86"/>
      <c r="N48" s="86"/>
      <c r="O48" s="86"/>
      <c r="R48" s="8">
        <v>3.4</v>
      </c>
    </row>
    <row r="49" spans="1:27" s="8" customFormat="1" ht="18" customHeight="1">
      <c r="A49" s="49" t="s">
        <v>44</v>
      </c>
      <c r="B49" s="4" t="s">
        <v>5</v>
      </c>
      <c r="C49" s="52">
        <v>40</v>
      </c>
      <c r="D49" s="42">
        <f>3.54/30*40</f>
        <v>4.7200000000000006</v>
      </c>
      <c r="E49" s="2">
        <f>6.6/100*30</f>
        <v>1.98</v>
      </c>
      <c r="F49" s="53">
        <f>1.2/100*30</f>
        <v>0.36</v>
      </c>
      <c r="G49" s="2">
        <f>33.4/100*30</f>
        <v>10.02</v>
      </c>
      <c r="H49" s="2">
        <v>51.24</v>
      </c>
      <c r="I49" s="92">
        <f>E49*4</f>
        <v>7.92</v>
      </c>
      <c r="J49" s="92">
        <f>F49*9</f>
        <v>3.2399999999999998</v>
      </c>
      <c r="K49" s="92">
        <f>G49*4</f>
        <v>40.08</v>
      </c>
      <c r="L49" s="92">
        <f>SUM(I49:K49)</f>
        <v>51.239999999999995</v>
      </c>
      <c r="M49" s="85"/>
      <c r="N49" s="85"/>
      <c r="O49" s="85"/>
      <c r="R49" s="8">
        <v>1.57</v>
      </c>
    </row>
    <row r="50" spans="1:27" ht="18" customHeight="1">
      <c r="A50" s="48"/>
      <c r="B50" s="9" t="s">
        <v>22</v>
      </c>
      <c r="C50" s="51">
        <f t="shared" ref="C50:H50" si="9">SUM(C45:C49)</f>
        <v>685</v>
      </c>
      <c r="D50" s="36">
        <f t="shared" si="9"/>
        <v>68.08</v>
      </c>
      <c r="E50" s="5">
        <f t="shared" si="9"/>
        <v>23.11</v>
      </c>
      <c r="F50" s="5">
        <f t="shared" si="9"/>
        <v>23.73</v>
      </c>
      <c r="G50" s="5">
        <f t="shared" si="9"/>
        <v>100.53333333333333</v>
      </c>
      <c r="H50" s="5">
        <f t="shared" si="9"/>
        <v>707.64</v>
      </c>
      <c r="I50" s="37">
        <f>77/100*30</f>
        <v>23.1</v>
      </c>
      <c r="J50" s="37">
        <f>79/100*30</f>
        <v>23.700000000000003</v>
      </c>
      <c r="K50" s="37">
        <f>335/100*30</f>
        <v>100.5</v>
      </c>
      <c r="L50" s="37">
        <f>2350/100*30</f>
        <v>705</v>
      </c>
      <c r="M50" s="10"/>
      <c r="N50" s="10"/>
      <c r="O50" s="10"/>
      <c r="P50" s="89">
        <f>71.54-D50</f>
        <v>3.460000000000008</v>
      </c>
      <c r="R50" s="11">
        <f>SUM(R45:R49)</f>
        <v>39.97</v>
      </c>
    </row>
    <row r="51" spans="1:27" ht="18" customHeight="1">
      <c r="A51" s="48"/>
      <c r="B51" s="3" t="s">
        <v>9</v>
      </c>
      <c r="C51" s="51"/>
      <c r="D51" s="72"/>
      <c r="E51" s="72">
        <f>E43+E50</f>
        <v>36.651604938271603</v>
      </c>
      <c r="F51" s="72">
        <f>F43+F50</f>
        <v>39.574938271604935</v>
      </c>
      <c r="G51" s="72">
        <f>G43+G50</f>
        <v>170.17024691358023</v>
      </c>
      <c r="H51" s="72">
        <f>H43+H50</f>
        <v>1180.5577777777778</v>
      </c>
      <c r="I51" s="104">
        <f>E50-I50</f>
        <v>9.9999999999980105E-3</v>
      </c>
      <c r="J51" s="104">
        <f>F50-J50</f>
        <v>2.9999999999997584E-2</v>
      </c>
      <c r="K51" s="104">
        <f>G50-K50</f>
        <v>3.3333333333331439E-2</v>
      </c>
      <c r="L51" s="104"/>
      <c r="M51" s="104"/>
      <c r="N51" s="104"/>
      <c r="O51" s="104"/>
    </row>
    <row r="52" spans="1:27" ht="18" customHeight="1">
      <c r="A52" s="117" t="s">
        <v>18</v>
      </c>
      <c r="B52" s="118"/>
      <c r="C52" s="54"/>
      <c r="D52" s="23"/>
      <c r="E52" s="18"/>
      <c r="F52" s="18"/>
      <c r="G52" s="18"/>
      <c r="H52" s="23"/>
      <c r="I52" s="18"/>
      <c r="J52" s="18"/>
      <c r="K52" s="18"/>
      <c r="L52" s="18"/>
      <c r="M52" s="18"/>
      <c r="N52" s="18"/>
      <c r="O52" s="18"/>
    </row>
    <row r="53" spans="1:27" ht="18" customHeight="1">
      <c r="A53" s="113" t="s">
        <v>12</v>
      </c>
      <c r="B53" s="113"/>
      <c r="C53" s="45"/>
      <c r="D53" s="37"/>
      <c r="E53" s="10"/>
      <c r="F53" s="18"/>
      <c r="G53" s="10"/>
      <c r="H53" s="18"/>
      <c r="I53" s="18"/>
      <c r="J53" s="18"/>
      <c r="K53" s="18"/>
      <c r="L53" s="18"/>
      <c r="M53" s="18"/>
      <c r="N53" s="18"/>
      <c r="O53" s="18"/>
    </row>
    <row r="54" spans="1:27" ht="18" customHeight="1">
      <c r="A54" s="46">
        <v>234</v>
      </c>
      <c r="B54" s="2" t="s">
        <v>26</v>
      </c>
      <c r="C54" s="30">
        <v>150</v>
      </c>
      <c r="D54" s="21">
        <v>28.79</v>
      </c>
      <c r="E54" s="16">
        <f>13.73-2</f>
        <v>11.73</v>
      </c>
      <c r="F54" s="16">
        <f>17.0666666666667-1.58</f>
        <v>15.486666666666698</v>
      </c>
      <c r="G54" s="16">
        <v>21.73</v>
      </c>
      <c r="H54" s="16">
        <v>273.22000000000003</v>
      </c>
      <c r="I54" s="92">
        <f>E54*4</f>
        <v>46.92</v>
      </c>
      <c r="J54" s="92">
        <f>F54*9</f>
        <v>139.38000000000028</v>
      </c>
      <c r="K54" s="92">
        <f>G54*4</f>
        <v>86.92</v>
      </c>
      <c r="L54" s="92">
        <f>SUM(I54:K54)</f>
        <v>273.22000000000031</v>
      </c>
      <c r="M54" s="105"/>
      <c r="N54" s="105"/>
      <c r="O54" s="105"/>
      <c r="R54" s="11">
        <v>11.95</v>
      </c>
      <c r="T54" s="46">
        <v>234</v>
      </c>
      <c r="U54" s="2" t="s">
        <v>26</v>
      </c>
      <c r="V54" s="30">
        <v>150</v>
      </c>
      <c r="W54" s="21" t="e">
        <f>#REF!*2.2</f>
        <v>#REF!</v>
      </c>
      <c r="X54" s="16">
        <v>9.7333333333333325</v>
      </c>
      <c r="Y54" s="16">
        <v>17.06666666666667</v>
      </c>
      <c r="Z54" s="16">
        <v>1.7333333333333332</v>
      </c>
      <c r="AA54" s="16">
        <v>199.33333333333334</v>
      </c>
    </row>
    <row r="55" spans="1:27" s="8" customFormat="1" ht="18" customHeight="1">
      <c r="A55" s="46">
        <v>300</v>
      </c>
      <c r="B55" s="26" t="s">
        <v>30</v>
      </c>
      <c r="C55" s="52">
        <v>200</v>
      </c>
      <c r="D55" s="21">
        <v>2.5</v>
      </c>
      <c r="E55" s="4">
        <v>0.1</v>
      </c>
      <c r="F55" s="4">
        <v>0</v>
      </c>
      <c r="G55" s="4">
        <v>20.2</v>
      </c>
      <c r="H55" s="4">
        <v>81.2</v>
      </c>
      <c r="I55" s="92">
        <f>E55*4</f>
        <v>0.4</v>
      </c>
      <c r="J55" s="92">
        <f>F55*9</f>
        <v>0</v>
      </c>
      <c r="K55" s="92">
        <f>G55*4</f>
        <v>80.8</v>
      </c>
      <c r="L55" s="92">
        <f>SUM(I55:K55)</f>
        <v>81.2</v>
      </c>
      <c r="M55" s="84"/>
      <c r="N55" s="84"/>
      <c r="O55" s="84"/>
      <c r="P55" s="8">
        <v>3.0585</v>
      </c>
      <c r="Q55" s="8">
        <f>395*0.02</f>
        <v>7.9</v>
      </c>
      <c r="R55" s="8">
        <f>SUM(P55:Q55)</f>
        <v>10.958500000000001</v>
      </c>
      <c r="T55" s="46">
        <v>300</v>
      </c>
      <c r="U55" s="26" t="s">
        <v>30</v>
      </c>
      <c r="V55" s="52">
        <v>200</v>
      </c>
      <c r="W55" s="21">
        <v>5</v>
      </c>
      <c r="X55" s="4">
        <v>0.1</v>
      </c>
      <c r="Y55" s="4">
        <v>0</v>
      </c>
      <c r="Z55" s="4">
        <v>15.2</v>
      </c>
      <c r="AA55" s="4">
        <v>61</v>
      </c>
    </row>
    <row r="56" spans="1:27" ht="18" customHeight="1">
      <c r="A56" s="46" t="s">
        <v>42</v>
      </c>
      <c r="B56" s="14" t="s">
        <v>39</v>
      </c>
      <c r="C56" s="31">
        <v>70</v>
      </c>
      <c r="D56" s="42">
        <f>32-2.41-11.07-3.46</f>
        <v>15.059999999999999</v>
      </c>
      <c r="E56" s="17">
        <f>1.8225/130*100</f>
        <v>1.401923076923077</v>
      </c>
      <c r="F56" s="17">
        <f>0.405/130*100</f>
        <v>0.3115384615384616</v>
      </c>
      <c r="G56" s="17">
        <f>4.6425/130*100</f>
        <v>3.5711538461538463</v>
      </c>
      <c r="H56" s="17">
        <v>22.7</v>
      </c>
      <c r="I56" s="92">
        <f>E56*4</f>
        <v>5.6076923076923082</v>
      </c>
      <c r="J56" s="92">
        <f>F56*9</f>
        <v>2.8038461538461545</v>
      </c>
      <c r="K56" s="92">
        <f>G56*4</f>
        <v>14.284615384615385</v>
      </c>
      <c r="L56" s="92">
        <f>SUM(I56:K56)</f>
        <v>22.696153846153848</v>
      </c>
      <c r="M56" s="92"/>
      <c r="N56" s="92"/>
      <c r="O56" s="92"/>
      <c r="R56" s="11">
        <v>7.97</v>
      </c>
      <c r="T56" s="46" t="s">
        <v>42</v>
      </c>
      <c r="U56" s="14" t="s">
        <v>39</v>
      </c>
      <c r="V56" s="31">
        <v>100</v>
      </c>
      <c r="W56" s="42">
        <f>32-2.41-11.07</f>
        <v>18.52</v>
      </c>
      <c r="X56" s="17">
        <v>1.8225000000000005</v>
      </c>
      <c r="Y56" s="17">
        <v>0.40500000000000003</v>
      </c>
      <c r="Z56" s="17">
        <v>1.6425000000000001</v>
      </c>
      <c r="AA56" s="17">
        <v>17.504999999999999</v>
      </c>
    </row>
    <row r="57" spans="1:27" ht="18" customHeight="1">
      <c r="A57" s="49" t="s">
        <v>43</v>
      </c>
      <c r="B57" s="4" t="s">
        <v>76</v>
      </c>
      <c r="C57" s="52">
        <v>50</v>
      </c>
      <c r="D57" s="21">
        <f>24-2.27</f>
        <v>21.73</v>
      </c>
      <c r="E57" s="4">
        <f>4.37-2</f>
        <v>2.37</v>
      </c>
      <c r="F57" s="4">
        <f>1/100*30</f>
        <v>0.3</v>
      </c>
      <c r="G57" s="4">
        <f>24.49-2.99</f>
        <v>21.5</v>
      </c>
      <c r="H57" s="4">
        <v>98.18</v>
      </c>
      <c r="I57" s="92"/>
      <c r="J57" s="92"/>
      <c r="K57" s="92"/>
      <c r="L57" s="92"/>
      <c r="M57" s="92"/>
      <c r="N57" s="92"/>
      <c r="O57" s="92"/>
      <c r="T57" s="46"/>
      <c r="U57" s="14"/>
      <c r="V57" s="31"/>
      <c r="W57" s="42"/>
      <c r="X57" s="17"/>
      <c r="Y57" s="17"/>
      <c r="Z57" s="17"/>
      <c r="AA57" s="17"/>
    </row>
    <row r="58" spans="1:27" ht="18" customHeight="1">
      <c r="A58" s="48"/>
      <c r="B58" s="9" t="s">
        <v>22</v>
      </c>
      <c r="C58" s="51">
        <f t="shared" ref="C58:H58" si="10">SUM(C54:C57)</f>
        <v>470</v>
      </c>
      <c r="D58" s="36">
        <f t="shared" si="10"/>
        <v>68.08</v>
      </c>
      <c r="E58" s="36">
        <f t="shared" si="10"/>
        <v>15.601923076923079</v>
      </c>
      <c r="F58" s="36">
        <f t="shared" si="10"/>
        <v>16.098205128205159</v>
      </c>
      <c r="G58" s="36">
        <f t="shared" si="10"/>
        <v>67.001153846153841</v>
      </c>
      <c r="H58" s="36">
        <f t="shared" si="10"/>
        <v>475.3</v>
      </c>
      <c r="I58" s="37">
        <f>77/100*20</f>
        <v>15.4</v>
      </c>
      <c r="J58" s="37">
        <f>79/100*20</f>
        <v>15.8</v>
      </c>
      <c r="K58" s="37">
        <f>335/100*20</f>
        <v>67</v>
      </c>
      <c r="L58" s="37">
        <f>2350/100*20</f>
        <v>470</v>
      </c>
      <c r="M58" s="10"/>
      <c r="N58" s="10"/>
      <c r="O58" s="10"/>
      <c r="P58" s="11">
        <v>71.540000000000006</v>
      </c>
      <c r="Q58" s="89">
        <f>D58-P58</f>
        <v>-3.460000000000008</v>
      </c>
      <c r="R58" s="11">
        <f>SUM(R54:R56)</f>
        <v>30.878499999999999</v>
      </c>
      <c r="S58" s="89">
        <f>P58-D58</f>
        <v>3.460000000000008</v>
      </c>
      <c r="T58" s="48"/>
      <c r="U58" s="9" t="s">
        <v>22</v>
      </c>
      <c r="V58" s="51">
        <f t="shared" ref="V58:AA58" si="11">SUM(V54:V56)</f>
        <v>450</v>
      </c>
      <c r="W58" s="36" t="e">
        <f t="shared" si="11"/>
        <v>#REF!</v>
      </c>
      <c r="X58" s="36">
        <f t="shared" si="11"/>
        <v>11.655833333333332</v>
      </c>
      <c r="Y58" s="36">
        <f t="shared" si="11"/>
        <v>17.471666666666671</v>
      </c>
      <c r="Z58" s="36">
        <f t="shared" si="11"/>
        <v>18.575833333333335</v>
      </c>
      <c r="AA58" s="36">
        <f t="shared" si="11"/>
        <v>277.83833333333337</v>
      </c>
    </row>
    <row r="59" spans="1:27" ht="18" customHeight="1">
      <c r="A59" s="111" t="s">
        <v>11</v>
      </c>
      <c r="B59" s="112"/>
      <c r="C59" s="55"/>
      <c r="D59" s="37"/>
      <c r="E59" s="18"/>
      <c r="F59" s="18"/>
      <c r="G59" s="18"/>
      <c r="H59" s="18"/>
      <c r="I59" s="97">
        <f>I58-E58</f>
        <v>-0.20192307692307843</v>
      </c>
      <c r="J59" s="97">
        <f>J58-F58</f>
        <v>-0.29820512820515788</v>
      </c>
      <c r="K59" s="97">
        <f>K58-G58</f>
        <v>-1.1538461538407319E-3</v>
      </c>
      <c r="L59" s="18"/>
      <c r="M59" s="18"/>
      <c r="N59" s="18"/>
      <c r="O59" s="18"/>
    </row>
    <row r="60" spans="1:27" ht="15.75">
      <c r="A60" s="46">
        <v>65</v>
      </c>
      <c r="B60" s="20" t="s">
        <v>66</v>
      </c>
      <c r="C60" s="64">
        <v>200</v>
      </c>
      <c r="D60" s="39">
        <f>20-3.46</f>
        <v>16.54</v>
      </c>
      <c r="E60" s="13">
        <v>7.3</v>
      </c>
      <c r="F60" s="13">
        <f>4.4+3</f>
        <v>7.4</v>
      </c>
      <c r="G60" s="13">
        <v>30.8</v>
      </c>
      <c r="H60" s="13">
        <v>219</v>
      </c>
      <c r="I60" s="92">
        <f>E60*4</f>
        <v>29.2</v>
      </c>
      <c r="J60" s="92">
        <f>F60*9</f>
        <v>66.600000000000009</v>
      </c>
      <c r="K60" s="92">
        <f>G60*4</f>
        <v>123.2</v>
      </c>
      <c r="L60" s="92">
        <f>SUM(I60:K60)</f>
        <v>219</v>
      </c>
      <c r="M60" s="86"/>
      <c r="N60" s="86"/>
      <c r="O60" s="86"/>
      <c r="R60" s="11">
        <f>7.3/200*250</f>
        <v>9.125</v>
      </c>
    </row>
    <row r="61" spans="1:27" s="8" customFormat="1" ht="18" customHeight="1">
      <c r="A61" s="46">
        <v>259</v>
      </c>
      <c r="B61" s="26" t="s">
        <v>74</v>
      </c>
      <c r="C61" s="57">
        <v>220</v>
      </c>
      <c r="D61" s="21">
        <v>38</v>
      </c>
      <c r="E61" s="67">
        <f>14.5-1.38</f>
        <v>13.120000000000001</v>
      </c>
      <c r="F61" s="67">
        <f>18.8-3.16</f>
        <v>15.64</v>
      </c>
      <c r="G61" s="67">
        <v>29.87</v>
      </c>
      <c r="H61" s="67">
        <v>312.72000000000003</v>
      </c>
      <c r="I61" s="92">
        <f>E61*4</f>
        <v>52.480000000000004</v>
      </c>
      <c r="J61" s="92">
        <f>F61*9</f>
        <v>140.76</v>
      </c>
      <c r="K61" s="92">
        <f>G61*4</f>
        <v>119.48</v>
      </c>
      <c r="L61" s="92">
        <f>SUM(I61:K61)</f>
        <v>312.72000000000003</v>
      </c>
      <c r="M61" s="106"/>
      <c r="N61" s="106"/>
      <c r="O61" s="106"/>
      <c r="P61" s="11"/>
      <c r="Q61" s="11"/>
      <c r="R61" s="11">
        <v>22.14</v>
      </c>
      <c r="S61" s="11"/>
    </row>
    <row r="62" spans="1:27" s="8" customFormat="1" ht="18" customHeight="1">
      <c r="A62" s="46">
        <v>319</v>
      </c>
      <c r="B62" s="13" t="s">
        <v>1</v>
      </c>
      <c r="C62" s="60">
        <v>200</v>
      </c>
      <c r="D62" s="21">
        <v>10</v>
      </c>
      <c r="E62" s="22">
        <v>0.7</v>
      </c>
      <c r="F62" s="22">
        <v>0.3</v>
      </c>
      <c r="G62" s="22">
        <f>29</f>
        <v>29</v>
      </c>
      <c r="H62" s="13">
        <v>121.5</v>
      </c>
      <c r="I62" s="92">
        <f>E62*4</f>
        <v>2.8</v>
      </c>
      <c r="J62" s="92">
        <f>F62*9</f>
        <v>2.6999999999999997</v>
      </c>
      <c r="K62" s="92">
        <f>G62*4</f>
        <v>116</v>
      </c>
      <c r="L62" s="92">
        <f>SUM(I62:K62)</f>
        <v>121.5</v>
      </c>
      <c r="M62" s="86"/>
      <c r="N62" s="86"/>
      <c r="O62" s="86"/>
      <c r="P62" s="8">
        <v>3.3</v>
      </c>
      <c r="Q62" s="8">
        <v>1.1200000000000001</v>
      </c>
      <c r="R62" s="8">
        <f>P62+Q62</f>
        <v>4.42</v>
      </c>
    </row>
    <row r="63" spans="1:27" ht="18" customHeight="1">
      <c r="A63" s="49" t="s">
        <v>44</v>
      </c>
      <c r="B63" s="4" t="s">
        <v>5</v>
      </c>
      <c r="C63" s="61">
        <v>30</v>
      </c>
      <c r="D63" s="42">
        <v>3.54</v>
      </c>
      <c r="E63" s="2">
        <f>6.6/100*30</f>
        <v>1.98</v>
      </c>
      <c r="F63" s="53">
        <f>1.2/100*30</f>
        <v>0.36</v>
      </c>
      <c r="G63" s="2">
        <f>33.4/100*30</f>
        <v>10.02</v>
      </c>
      <c r="H63" s="2">
        <v>51.24</v>
      </c>
      <c r="I63" s="92">
        <f>E63*4</f>
        <v>7.92</v>
      </c>
      <c r="J63" s="92">
        <f>F63*9</f>
        <v>3.2399999999999998</v>
      </c>
      <c r="K63" s="92">
        <f>G63*4</f>
        <v>40.08</v>
      </c>
      <c r="L63" s="92">
        <f>SUM(I63:K63)</f>
        <v>51.239999999999995</v>
      </c>
      <c r="M63" s="85"/>
      <c r="N63" s="85"/>
      <c r="O63" s="85"/>
      <c r="P63" s="8"/>
      <c r="Q63" s="8"/>
      <c r="R63" s="8">
        <v>1.57</v>
      </c>
      <c r="S63" s="8"/>
    </row>
    <row r="64" spans="1:27" ht="18" customHeight="1">
      <c r="A64" s="48"/>
      <c r="B64" s="9" t="s">
        <v>22</v>
      </c>
      <c r="C64" s="51">
        <f t="shared" ref="C64:H64" si="12">SUM(C60:C63)</f>
        <v>650</v>
      </c>
      <c r="D64" s="36">
        <f t="shared" si="12"/>
        <v>68.08</v>
      </c>
      <c r="E64" s="5">
        <f t="shared" si="12"/>
        <v>23.1</v>
      </c>
      <c r="F64" s="5">
        <f t="shared" si="12"/>
        <v>23.7</v>
      </c>
      <c r="G64" s="5">
        <f t="shared" si="12"/>
        <v>99.69</v>
      </c>
      <c r="H64" s="5">
        <f t="shared" si="12"/>
        <v>704.46</v>
      </c>
      <c r="I64" s="37">
        <f>77/100*30</f>
        <v>23.1</v>
      </c>
      <c r="J64" s="37">
        <f>79/100*30</f>
        <v>23.700000000000003</v>
      </c>
      <c r="K64" s="37">
        <f>335/100*30</f>
        <v>100.5</v>
      </c>
      <c r="L64" s="37">
        <f>2350/100*30</f>
        <v>705</v>
      </c>
      <c r="M64" s="10"/>
      <c r="N64" s="10"/>
      <c r="O64" s="10"/>
      <c r="R64" s="11">
        <f>SUM(R60:R63)</f>
        <v>37.255000000000003</v>
      </c>
    </row>
    <row r="65" spans="1:19" ht="18" customHeight="1">
      <c r="A65" s="48"/>
      <c r="B65" s="3" t="s">
        <v>9</v>
      </c>
      <c r="C65" s="51"/>
      <c r="D65" s="68"/>
      <c r="E65" s="6">
        <f>E58+E64</f>
        <v>38.70192307692308</v>
      </c>
      <c r="F65" s="6">
        <f>F58+F64</f>
        <v>39.798205128205154</v>
      </c>
      <c r="G65" s="6">
        <f>G58+G64</f>
        <v>166.69115384615384</v>
      </c>
      <c r="H65" s="6">
        <f>H58+H64</f>
        <v>1179.76</v>
      </c>
      <c r="I65" s="97">
        <f>E64-I64</f>
        <v>0</v>
      </c>
      <c r="J65" s="97">
        <f>F64-J64</f>
        <v>0</v>
      </c>
      <c r="K65" s="97">
        <f>G64-K64</f>
        <v>-0.81000000000000227</v>
      </c>
      <c r="L65" s="97">
        <f>H64-L64</f>
        <v>-0.53999999999996362</v>
      </c>
      <c r="M65" s="97"/>
      <c r="N65" s="97"/>
      <c r="O65" s="97"/>
    </row>
    <row r="66" spans="1:19" ht="18" customHeight="1">
      <c r="A66" s="117" t="s">
        <v>19</v>
      </c>
      <c r="B66" s="118"/>
      <c r="C66" s="54"/>
      <c r="D66" s="23"/>
      <c r="E66" s="23"/>
      <c r="F66" s="23"/>
      <c r="G66" s="23"/>
      <c r="H66" s="23"/>
      <c r="I66" s="18"/>
      <c r="J66" s="18"/>
      <c r="K66" s="18"/>
      <c r="L66" s="18"/>
      <c r="M66" s="18"/>
      <c r="N66" s="18"/>
      <c r="O66" s="18"/>
    </row>
    <row r="67" spans="1:19" ht="18" customHeight="1">
      <c r="A67" s="113" t="s">
        <v>12</v>
      </c>
      <c r="B67" s="113"/>
      <c r="C67" s="45"/>
      <c r="D67" s="37"/>
      <c r="E67" s="18"/>
      <c r="F67" s="10"/>
      <c r="G67" s="10"/>
      <c r="H67" s="18"/>
      <c r="I67" s="18"/>
      <c r="J67" s="18"/>
      <c r="K67" s="18"/>
      <c r="L67" s="18"/>
      <c r="M67" s="18"/>
      <c r="N67" s="18"/>
      <c r="O67" s="18"/>
    </row>
    <row r="68" spans="1:19" ht="18" customHeight="1">
      <c r="A68" s="46">
        <v>96</v>
      </c>
      <c r="B68" s="1" t="s">
        <v>80</v>
      </c>
      <c r="C68" s="30">
        <v>80</v>
      </c>
      <c r="D68" s="21">
        <f>44-3.46+7.6</f>
        <v>48.14</v>
      </c>
      <c r="E68" s="16">
        <f>14.02-7</f>
        <v>7.02</v>
      </c>
      <c r="F68" s="16">
        <f>9.3-1.96</f>
        <v>7.3400000000000007</v>
      </c>
      <c r="G68" s="16">
        <v>7.1</v>
      </c>
      <c r="H68" s="16">
        <v>122.54</v>
      </c>
      <c r="I68" s="92">
        <f>E68*4</f>
        <v>28.08</v>
      </c>
      <c r="J68" s="92">
        <f>F68*9</f>
        <v>66.06</v>
      </c>
      <c r="K68" s="92">
        <f>G68*4</f>
        <v>28.4</v>
      </c>
      <c r="L68" s="92">
        <f>SUM(I68:K68)</f>
        <v>122.53999999999999</v>
      </c>
      <c r="M68" s="105"/>
      <c r="N68" s="105"/>
      <c r="O68" s="105"/>
      <c r="R68" s="11">
        <v>22.5</v>
      </c>
    </row>
    <row r="69" spans="1:19" ht="18" customHeight="1">
      <c r="A69" s="49" t="s">
        <v>45</v>
      </c>
      <c r="B69" s="1" t="s">
        <v>21</v>
      </c>
      <c r="C69" s="58">
        <v>150</v>
      </c>
      <c r="D69" s="42">
        <v>10</v>
      </c>
      <c r="E69" s="14">
        <f>E17/150*180-7</f>
        <v>5.7200000000000006</v>
      </c>
      <c r="F69" s="14">
        <f>F17/150*180</f>
        <v>8.16</v>
      </c>
      <c r="G69" s="14">
        <f>G17/150*180</f>
        <v>30.36</v>
      </c>
      <c r="H69" s="15">
        <v>217.76</v>
      </c>
      <c r="I69" s="92">
        <f>E69*4</f>
        <v>22.880000000000003</v>
      </c>
      <c r="J69" s="92">
        <f>F69*9</f>
        <v>73.44</v>
      </c>
      <c r="K69" s="92">
        <f>G69*4</f>
        <v>121.44</v>
      </c>
      <c r="L69" s="92">
        <f>SUM(I69:K69)</f>
        <v>217.76</v>
      </c>
      <c r="M69" s="94"/>
      <c r="N69" s="94"/>
      <c r="O69" s="94"/>
      <c r="R69" s="11">
        <v>4</v>
      </c>
    </row>
    <row r="70" spans="1:19" ht="18" customHeight="1">
      <c r="A70" s="46">
        <v>307</v>
      </c>
      <c r="B70" s="26" t="s">
        <v>61</v>
      </c>
      <c r="C70" s="57">
        <v>200</v>
      </c>
      <c r="D70" s="21">
        <v>3.4</v>
      </c>
      <c r="E70" s="4">
        <v>0.1</v>
      </c>
      <c r="F70" s="4">
        <v>0</v>
      </c>
      <c r="G70" s="4">
        <v>15.2</v>
      </c>
      <c r="H70" s="78">
        <v>61</v>
      </c>
      <c r="I70" s="92">
        <f>E70*4</f>
        <v>0.4</v>
      </c>
      <c r="J70" s="92">
        <f>F70*9</f>
        <v>0</v>
      </c>
      <c r="K70" s="92">
        <f>G70*4</f>
        <v>60.8</v>
      </c>
      <c r="L70" s="92">
        <f>SUM(I70:K70)</f>
        <v>61.199999999999996</v>
      </c>
      <c r="M70" s="98"/>
      <c r="N70" s="98"/>
      <c r="O70" s="98"/>
      <c r="R70" s="11">
        <v>2.97</v>
      </c>
    </row>
    <row r="71" spans="1:19" ht="18" customHeight="1">
      <c r="A71" s="49" t="s">
        <v>43</v>
      </c>
      <c r="B71" s="4" t="s">
        <v>0</v>
      </c>
      <c r="C71" s="52">
        <v>30</v>
      </c>
      <c r="D71" s="21">
        <v>6.54</v>
      </c>
      <c r="E71" s="4">
        <f>7.9/100*30</f>
        <v>2.37</v>
      </c>
      <c r="F71" s="4">
        <f>1/100*30</f>
        <v>0.3</v>
      </c>
      <c r="G71" s="4">
        <f>48.3/100*30</f>
        <v>14.49</v>
      </c>
      <c r="H71" s="4">
        <v>70.14</v>
      </c>
      <c r="I71" s="92">
        <f>E71*4</f>
        <v>9.48</v>
      </c>
      <c r="J71" s="92">
        <f>F71*9</f>
        <v>2.6999999999999997</v>
      </c>
      <c r="K71" s="92">
        <f>G71*4</f>
        <v>57.96</v>
      </c>
      <c r="L71" s="92">
        <f>SUM(I71:K71)</f>
        <v>70.14</v>
      </c>
      <c r="M71" s="84"/>
      <c r="N71" s="84"/>
      <c r="O71" s="84"/>
      <c r="R71" s="11">
        <v>1.57</v>
      </c>
    </row>
    <row r="72" spans="1:19" ht="18" customHeight="1">
      <c r="A72" s="48"/>
      <c r="B72" s="9" t="s">
        <v>22</v>
      </c>
      <c r="C72" s="51">
        <f t="shared" ref="C72:H72" si="13">SUM(C68:C71)</f>
        <v>460</v>
      </c>
      <c r="D72" s="36">
        <f t="shared" si="13"/>
        <v>68.08</v>
      </c>
      <c r="E72" s="36">
        <f t="shared" si="13"/>
        <v>15.21</v>
      </c>
      <c r="F72" s="36">
        <f t="shared" si="13"/>
        <v>15.8</v>
      </c>
      <c r="G72" s="36">
        <f t="shared" si="13"/>
        <v>67.149999999999991</v>
      </c>
      <c r="H72" s="36">
        <f t="shared" si="13"/>
        <v>471.44</v>
      </c>
      <c r="I72" s="37">
        <f>77/100*20</f>
        <v>15.4</v>
      </c>
      <c r="J72" s="37">
        <f>79/100*20</f>
        <v>15.8</v>
      </c>
      <c r="K72" s="37">
        <f>335/100*20</f>
        <v>67</v>
      </c>
      <c r="L72" s="37">
        <f>2350/100*20</f>
        <v>470</v>
      </c>
      <c r="M72" s="37"/>
      <c r="N72" s="37"/>
      <c r="O72" s="37"/>
      <c r="P72" s="89"/>
      <c r="R72" s="11">
        <f>SUM(R68:R71)</f>
        <v>31.04</v>
      </c>
    </row>
    <row r="73" spans="1:19" ht="18" customHeight="1">
      <c r="A73" s="111" t="s">
        <v>11</v>
      </c>
      <c r="B73" s="112"/>
      <c r="C73" s="55"/>
      <c r="D73" s="37"/>
      <c r="E73" s="18"/>
      <c r="F73" s="18"/>
      <c r="G73" s="18"/>
      <c r="H73" s="18"/>
      <c r="I73" s="97">
        <f>E72-I72</f>
        <v>-0.1899999999999995</v>
      </c>
      <c r="J73" s="97">
        <f>F72-J72</f>
        <v>0</v>
      </c>
      <c r="K73" s="18"/>
      <c r="L73" s="18"/>
      <c r="M73" s="18"/>
      <c r="N73" s="18"/>
      <c r="O73" s="18"/>
    </row>
    <row r="74" spans="1:19" ht="18" customHeight="1">
      <c r="A74" s="46">
        <v>58</v>
      </c>
      <c r="B74" s="25" t="s">
        <v>48</v>
      </c>
      <c r="C74" s="59">
        <v>200</v>
      </c>
      <c r="D74" s="42">
        <v>15</v>
      </c>
      <c r="E74" s="14">
        <f>2+4.58</f>
        <v>6.58</v>
      </c>
      <c r="F74" s="14">
        <f>9.4-2.2</f>
        <v>7.2</v>
      </c>
      <c r="G74" s="14">
        <f>17.8+12</f>
        <v>29.8</v>
      </c>
      <c r="H74" s="14">
        <v>210.32</v>
      </c>
      <c r="I74" s="92">
        <f>E74*4</f>
        <v>26.32</v>
      </c>
      <c r="J74" s="92">
        <f>F74*9</f>
        <v>64.8</v>
      </c>
      <c r="K74" s="92">
        <f>G74*4</f>
        <v>119.2</v>
      </c>
      <c r="L74" s="92">
        <f>SUM(I74:K74)</f>
        <v>210.32</v>
      </c>
      <c r="M74" s="101"/>
      <c r="N74" s="101"/>
      <c r="O74" s="101"/>
      <c r="R74" s="11">
        <v>8.36</v>
      </c>
    </row>
    <row r="75" spans="1:19" ht="18" customHeight="1">
      <c r="A75" s="65">
        <v>110</v>
      </c>
      <c r="B75" s="66" t="s">
        <v>41</v>
      </c>
      <c r="C75" s="62">
        <v>90</v>
      </c>
      <c r="D75" s="39">
        <v>30.5</v>
      </c>
      <c r="E75" s="32">
        <v>6.9</v>
      </c>
      <c r="F75" s="32">
        <v>10.1</v>
      </c>
      <c r="G75" s="32">
        <v>8.6999999999999993</v>
      </c>
      <c r="H75" s="32">
        <v>153.30000000000001</v>
      </c>
      <c r="I75" s="92">
        <f>E75*4</f>
        <v>27.6</v>
      </c>
      <c r="J75" s="92">
        <f>F75*9</f>
        <v>90.899999999999991</v>
      </c>
      <c r="K75" s="92">
        <f>G75*4</f>
        <v>34.799999999999997</v>
      </c>
      <c r="L75" s="92">
        <f>SUM(I75:K75)</f>
        <v>153.30000000000001</v>
      </c>
      <c r="M75" s="103"/>
      <c r="N75" s="103"/>
      <c r="O75" s="103"/>
      <c r="R75" s="11">
        <v>11.8</v>
      </c>
    </row>
    <row r="76" spans="1:19" s="8" customFormat="1" ht="18" customHeight="1">
      <c r="A76" s="46">
        <v>227</v>
      </c>
      <c r="B76" s="33" t="s">
        <v>40</v>
      </c>
      <c r="C76" s="62">
        <v>100</v>
      </c>
      <c r="D76" s="39">
        <f>12-2.96</f>
        <v>9.0399999999999991</v>
      </c>
      <c r="E76" s="32">
        <v>6.6666666666666696</v>
      </c>
      <c r="F76" s="32">
        <v>5.8666666666666671</v>
      </c>
      <c r="G76" s="32">
        <f>53.3333333333333-28</f>
        <v>25.3333333333333</v>
      </c>
      <c r="H76" s="32">
        <v>180.8</v>
      </c>
      <c r="I76" s="92">
        <f>E76*4</f>
        <v>26.666666666666679</v>
      </c>
      <c r="J76" s="92">
        <f>F76*9</f>
        <v>52.800000000000004</v>
      </c>
      <c r="K76" s="92">
        <f>G76*4</f>
        <v>101.3333333333332</v>
      </c>
      <c r="L76" s="92">
        <f>SUM(I76:K76)</f>
        <v>180.7999999999999</v>
      </c>
      <c r="M76" s="103"/>
      <c r="N76" s="103"/>
      <c r="O76" s="103"/>
      <c r="P76" s="11"/>
      <c r="Q76" s="11"/>
      <c r="R76" s="11">
        <v>8.77</v>
      </c>
      <c r="S76" s="11"/>
    </row>
    <row r="77" spans="1:19" s="8" customFormat="1" ht="18" customHeight="1">
      <c r="A77" s="46">
        <v>491</v>
      </c>
      <c r="B77" s="4" t="s">
        <v>29</v>
      </c>
      <c r="C77" s="52">
        <v>200</v>
      </c>
      <c r="D77" s="42">
        <v>10</v>
      </c>
      <c r="E77" s="67">
        <v>0.17</v>
      </c>
      <c r="F77" s="67">
        <v>0.04</v>
      </c>
      <c r="G77" s="67">
        <v>24.1</v>
      </c>
      <c r="H77" s="67">
        <v>97.44</v>
      </c>
      <c r="I77" s="92">
        <f>E77*4</f>
        <v>0.68</v>
      </c>
      <c r="J77" s="92">
        <f>F77*9</f>
        <v>0.36</v>
      </c>
      <c r="K77" s="92">
        <f>G77*4</f>
        <v>96.4</v>
      </c>
      <c r="L77" s="92">
        <f>SUM(I77:K77)</f>
        <v>97.440000000000012</v>
      </c>
      <c r="M77" s="106"/>
      <c r="N77" s="106"/>
      <c r="O77" s="106"/>
      <c r="P77" s="8">
        <v>6.17</v>
      </c>
      <c r="Q77" s="8">
        <v>0.84</v>
      </c>
      <c r="R77" s="8">
        <v>4.95</v>
      </c>
    </row>
    <row r="78" spans="1:19" ht="18" customHeight="1">
      <c r="A78" s="49" t="s">
        <v>44</v>
      </c>
      <c r="B78" s="4" t="s">
        <v>5</v>
      </c>
      <c r="C78" s="52">
        <v>30</v>
      </c>
      <c r="D78" s="42">
        <v>3.54</v>
      </c>
      <c r="E78" s="2">
        <f>6.6/100*30</f>
        <v>1.98</v>
      </c>
      <c r="F78" s="53">
        <f>1.2/100*30</f>
        <v>0.36</v>
      </c>
      <c r="G78" s="2">
        <f>33.4/100*30</f>
        <v>10.02</v>
      </c>
      <c r="H78" s="2">
        <v>51.24</v>
      </c>
      <c r="I78" s="92">
        <f>E78*4</f>
        <v>7.92</v>
      </c>
      <c r="J78" s="92">
        <f>F78*9</f>
        <v>3.2399999999999998</v>
      </c>
      <c r="K78" s="92">
        <f>G78*4</f>
        <v>40.08</v>
      </c>
      <c r="L78" s="92">
        <f>SUM(I78:K78)</f>
        <v>51.239999999999995</v>
      </c>
      <c r="M78" s="85"/>
      <c r="N78" s="85"/>
      <c r="O78" s="85"/>
      <c r="P78" s="8"/>
      <c r="Q78" s="8"/>
      <c r="R78" s="8">
        <v>1.57</v>
      </c>
      <c r="S78" s="8"/>
    </row>
    <row r="79" spans="1:19" ht="18" customHeight="1">
      <c r="A79" s="46"/>
      <c r="B79" s="9" t="s">
        <v>22</v>
      </c>
      <c r="C79" s="51">
        <f t="shared" ref="C79:H79" si="14">SUM(C74:C78)</f>
        <v>620</v>
      </c>
      <c r="D79" s="36">
        <f t="shared" si="14"/>
        <v>68.08</v>
      </c>
      <c r="E79" s="5">
        <f t="shared" si="14"/>
        <v>22.29666666666667</v>
      </c>
      <c r="F79" s="5">
        <f t="shared" si="14"/>
        <v>23.566666666666666</v>
      </c>
      <c r="G79" s="5">
        <f t="shared" si="14"/>
        <v>97.953333333333305</v>
      </c>
      <c r="H79" s="5">
        <f t="shared" si="14"/>
        <v>693.10000000000014</v>
      </c>
      <c r="I79" s="37">
        <f>77/100*30</f>
        <v>23.1</v>
      </c>
      <c r="J79" s="37">
        <f>79/100*30</f>
        <v>23.700000000000003</v>
      </c>
      <c r="K79" s="37">
        <f>335/100*30</f>
        <v>100.5</v>
      </c>
      <c r="L79" s="37">
        <f>2350/100*30</f>
        <v>705</v>
      </c>
      <c r="M79" s="10"/>
      <c r="N79" s="10"/>
      <c r="O79" s="10"/>
      <c r="P79" s="89">
        <f>71.54-D79</f>
        <v>3.460000000000008</v>
      </c>
      <c r="R79" s="11">
        <f>SUM(R74:R78)</f>
        <v>35.450000000000003</v>
      </c>
    </row>
    <row r="80" spans="1:19" ht="18" customHeight="1">
      <c r="A80" s="48"/>
      <c r="B80" s="3" t="s">
        <v>9</v>
      </c>
      <c r="C80" s="51"/>
      <c r="D80" s="36"/>
      <c r="E80" s="6">
        <f>E72+E79</f>
        <v>37.506666666666675</v>
      </c>
      <c r="F80" s="6">
        <f>F72+F79</f>
        <v>39.366666666666667</v>
      </c>
      <c r="G80" s="6">
        <f>G72+G79</f>
        <v>165.1033333333333</v>
      </c>
      <c r="H80" s="6">
        <f>H72+H79</f>
        <v>1164.5400000000002</v>
      </c>
      <c r="I80" s="97">
        <f>I79-E79</f>
        <v>0.80333333333333101</v>
      </c>
      <c r="J80" s="97">
        <f>J79-F79</f>
        <v>0.13333333333333641</v>
      </c>
      <c r="K80" s="97">
        <f>K79-G79</f>
        <v>2.5466666666666953</v>
      </c>
      <c r="L80" s="97"/>
      <c r="M80" s="97"/>
      <c r="N80" s="97"/>
      <c r="O80" s="97"/>
    </row>
    <row r="81" spans="1:19" ht="18" customHeight="1">
      <c r="A81" s="117" t="s">
        <v>83</v>
      </c>
      <c r="B81" s="118"/>
      <c r="C81" s="54"/>
      <c r="D81" s="23"/>
      <c r="E81" s="23"/>
      <c r="F81" s="23"/>
      <c r="G81" s="23"/>
      <c r="H81" s="23"/>
      <c r="I81" s="18"/>
      <c r="J81" s="18"/>
      <c r="K81" s="18"/>
      <c r="L81" s="18"/>
      <c r="M81" s="18"/>
      <c r="N81" s="18"/>
      <c r="O81" s="18"/>
    </row>
    <row r="82" spans="1:19" ht="18" customHeight="1">
      <c r="A82" s="113" t="s">
        <v>12</v>
      </c>
      <c r="B82" s="113"/>
      <c r="C82" s="45"/>
      <c r="D82" s="37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1:19" ht="18" customHeight="1">
      <c r="A83" s="46">
        <v>208</v>
      </c>
      <c r="B83" s="4" t="s">
        <v>65</v>
      </c>
      <c r="C83" s="52">
        <v>200</v>
      </c>
      <c r="D83" s="42">
        <f>30-3.46</f>
        <v>26.54</v>
      </c>
      <c r="E83" s="17">
        <f>8.27160493827161+1.86</f>
        <v>10.131604938271609</v>
      </c>
      <c r="F83" s="17">
        <v>12.744938271604934</v>
      </c>
      <c r="G83" s="17">
        <f>40.2469135802469-2.64</f>
        <v>37.606913580246896</v>
      </c>
      <c r="H83" s="77">
        <v>305.66000000000003</v>
      </c>
      <c r="I83" s="92">
        <f>E83*4</f>
        <v>40.526419753086437</v>
      </c>
      <c r="J83" s="92">
        <f>F83*9</f>
        <v>114.70444444444441</v>
      </c>
      <c r="K83" s="92">
        <f>G83*4</f>
        <v>150.42765432098759</v>
      </c>
      <c r="L83" s="92">
        <f>SUM(I83:K83)</f>
        <v>305.65851851851846</v>
      </c>
      <c r="M83" s="102"/>
      <c r="N83" s="102"/>
      <c r="O83" s="102"/>
      <c r="R83" s="11">
        <v>11.27</v>
      </c>
      <c r="S83" s="11">
        <f>R83/250*200</f>
        <v>9.0159999999999982</v>
      </c>
    </row>
    <row r="84" spans="1:19" ht="18" customHeight="1">
      <c r="A84" s="46">
        <v>304</v>
      </c>
      <c r="B84" s="2" t="s">
        <v>38</v>
      </c>
      <c r="C84" s="52">
        <v>200</v>
      </c>
      <c r="D84" s="42">
        <v>17.54</v>
      </c>
      <c r="E84" s="4">
        <v>2.9</v>
      </c>
      <c r="F84" s="4">
        <v>2.8</v>
      </c>
      <c r="G84" s="4">
        <v>14.9</v>
      </c>
      <c r="H84" s="4">
        <v>94</v>
      </c>
      <c r="I84" s="92">
        <f>E84*4</f>
        <v>11.6</v>
      </c>
      <c r="J84" s="92">
        <f>F84*9</f>
        <v>25.2</v>
      </c>
      <c r="K84" s="92">
        <f>G84*4</f>
        <v>59.6</v>
      </c>
      <c r="L84" s="92">
        <f>SUM(I84:K84)</f>
        <v>96.4</v>
      </c>
      <c r="M84" s="84"/>
      <c r="N84" s="84"/>
      <c r="O84" s="84"/>
      <c r="R84" s="11">
        <v>7.34</v>
      </c>
    </row>
    <row r="85" spans="1:19" ht="15.75">
      <c r="A85" s="49" t="s">
        <v>43</v>
      </c>
      <c r="B85" s="4" t="s">
        <v>71</v>
      </c>
      <c r="C85" s="52">
        <v>50</v>
      </c>
      <c r="D85" s="21">
        <v>24</v>
      </c>
      <c r="E85" s="4">
        <f>7.9/100*30</f>
        <v>2.37</v>
      </c>
      <c r="F85" s="4">
        <f>1/100*30</f>
        <v>0.3</v>
      </c>
      <c r="G85" s="4">
        <f>48.3/100*30</f>
        <v>14.49</v>
      </c>
      <c r="H85" s="4">
        <v>70.14</v>
      </c>
      <c r="I85" s="92">
        <f>E85*4</f>
        <v>9.48</v>
      </c>
      <c r="J85" s="92">
        <f>F85*9</f>
        <v>2.6999999999999997</v>
      </c>
      <c r="K85" s="92">
        <f>G85*4</f>
        <v>57.96</v>
      </c>
      <c r="L85" s="92">
        <f>SUM(I85:K85)</f>
        <v>70.14</v>
      </c>
      <c r="M85" s="84"/>
      <c r="N85" s="84"/>
      <c r="O85" s="84"/>
      <c r="P85" s="11">
        <f>7.09/2</f>
        <v>3.5449999999999999</v>
      </c>
      <c r="R85" s="11">
        <v>3.95</v>
      </c>
    </row>
    <row r="86" spans="1:19" ht="18" customHeight="1">
      <c r="A86" s="46"/>
      <c r="B86" s="9" t="s">
        <v>22</v>
      </c>
      <c r="C86" s="51">
        <f t="shared" ref="C86:H86" si="15">SUM(C83:C85)</f>
        <v>450</v>
      </c>
      <c r="D86" s="36">
        <f t="shared" si="15"/>
        <v>68.08</v>
      </c>
      <c r="E86" s="36">
        <f t="shared" si="15"/>
        <v>15.40160493827161</v>
      </c>
      <c r="F86" s="36">
        <f t="shared" si="15"/>
        <v>15.844938271604935</v>
      </c>
      <c r="G86" s="36">
        <f t="shared" si="15"/>
        <v>66.996913580246897</v>
      </c>
      <c r="H86" s="36">
        <f t="shared" si="15"/>
        <v>469.8</v>
      </c>
      <c r="I86" s="37">
        <f>77/100*20</f>
        <v>15.4</v>
      </c>
      <c r="J86" s="37">
        <f>79/100*20</f>
        <v>15.8</v>
      </c>
      <c r="K86" s="37">
        <f>335/100*20</f>
        <v>67</v>
      </c>
      <c r="L86" s="37">
        <f>2350/100*20</f>
        <v>470</v>
      </c>
      <c r="M86" s="37"/>
      <c r="N86" s="37"/>
      <c r="O86" s="37"/>
      <c r="P86" s="11">
        <f>71.54-50.8</f>
        <v>20.740000000000009</v>
      </c>
      <c r="R86" s="11">
        <f>SUM(R83:R85)</f>
        <v>22.56</v>
      </c>
    </row>
    <row r="87" spans="1:19" ht="18" customHeight="1">
      <c r="A87" s="111" t="s">
        <v>11</v>
      </c>
      <c r="B87" s="112"/>
      <c r="C87" s="35"/>
      <c r="D87" s="37"/>
      <c r="E87" s="18"/>
      <c r="F87" s="18"/>
      <c r="G87" s="18"/>
      <c r="H87" s="18"/>
      <c r="I87" s="97"/>
      <c r="J87" s="18"/>
      <c r="K87" s="18"/>
      <c r="L87" s="18"/>
      <c r="M87" s="18"/>
      <c r="N87" s="18"/>
      <c r="O87" s="18"/>
    </row>
    <row r="88" spans="1:19" ht="18" customHeight="1">
      <c r="A88" s="46">
        <v>122</v>
      </c>
      <c r="B88" s="110" t="s">
        <v>70</v>
      </c>
      <c r="C88" s="30">
        <v>250</v>
      </c>
      <c r="D88" s="21">
        <v>15.65</v>
      </c>
      <c r="E88" s="16">
        <f>5.8+0.85</f>
        <v>6.6499999999999995</v>
      </c>
      <c r="F88" s="16">
        <f>4.3+2.57</f>
        <v>6.8699999999999992</v>
      </c>
      <c r="G88" s="16">
        <f>27.8+17</f>
        <v>44.8</v>
      </c>
      <c r="H88" s="4">
        <v>267.63</v>
      </c>
      <c r="I88" s="92">
        <f>E88*4</f>
        <v>26.599999999999998</v>
      </c>
      <c r="J88" s="92">
        <f>F88*9</f>
        <v>61.829999999999991</v>
      </c>
      <c r="K88" s="92">
        <f>G88*4</f>
        <v>179.2</v>
      </c>
      <c r="L88" s="92">
        <f>SUM(I88:K88)</f>
        <v>267.63</v>
      </c>
      <c r="M88" s="84"/>
      <c r="N88" s="84"/>
      <c r="O88" s="84"/>
      <c r="R88" s="11">
        <v>16.34</v>
      </c>
    </row>
    <row r="89" spans="1:19" ht="18" customHeight="1">
      <c r="A89" s="46">
        <v>158</v>
      </c>
      <c r="B89" s="26" t="s">
        <v>62</v>
      </c>
      <c r="C89" s="58">
        <v>200</v>
      </c>
      <c r="D89" s="42">
        <f>R89*2.2-3.46</f>
        <v>40.892000000000003</v>
      </c>
      <c r="E89" s="14">
        <v>12.65</v>
      </c>
      <c r="F89" s="19">
        <f>13.2/180*220</f>
        <v>16.133333333333333</v>
      </c>
      <c r="G89" s="19">
        <v>15.06</v>
      </c>
      <c r="H89" s="15">
        <v>256.04000000000002</v>
      </c>
      <c r="I89" s="92">
        <f>E89*4</f>
        <v>50.6</v>
      </c>
      <c r="J89" s="92">
        <f>F89*9</f>
        <v>145.19999999999999</v>
      </c>
      <c r="K89" s="92">
        <f>G89*4</f>
        <v>60.24</v>
      </c>
      <c r="L89" s="92">
        <f>SUM(I89:K89)</f>
        <v>256.03999999999996</v>
      </c>
      <c r="M89" s="94"/>
      <c r="N89" s="94"/>
      <c r="O89" s="94"/>
      <c r="R89" s="11">
        <v>20.16</v>
      </c>
    </row>
    <row r="90" spans="1:19" s="8" customFormat="1" ht="18" customHeight="1">
      <c r="A90" s="46">
        <v>310</v>
      </c>
      <c r="B90" s="4" t="s">
        <v>34</v>
      </c>
      <c r="C90" s="52">
        <v>200</v>
      </c>
      <c r="D90" s="21">
        <v>8</v>
      </c>
      <c r="E90" s="22">
        <v>0.5</v>
      </c>
      <c r="F90" s="22">
        <v>0.1</v>
      </c>
      <c r="G90" s="22">
        <v>23.9</v>
      </c>
      <c r="H90" s="22">
        <v>98.5</v>
      </c>
      <c r="I90" s="92">
        <f>E90*4</f>
        <v>2</v>
      </c>
      <c r="J90" s="92">
        <f>F90*9</f>
        <v>0.9</v>
      </c>
      <c r="K90" s="92">
        <f>G90*4</f>
        <v>95.6</v>
      </c>
      <c r="L90" s="92">
        <f>SUM(I90:K90)</f>
        <v>98.5</v>
      </c>
      <c r="M90" s="95"/>
      <c r="N90" s="95"/>
      <c r="O90" s="95"/>
      <c r="P90" s="11"/>
      <c r="Q90" s="11"/>
      <c r="R90" s="11">
        <v>3</v>
      </c>
      <c r="S90" s="11"/>
    </row>
    <row r="91" spans="1:19" ht="18" customHeight="1">
      <c r="A91" s="49" t="s">
        <v>44</v>
      </c>
      <c r="B91" s="4" t="s">
        <v>5</v>
      </c>
      <c r="C91" s="52">
        <v>30</v>
      </c>
      <c r="D91" s="42">
        <v>3.54</v>
      </c>
      <c r="E91" s="2">
        <f>E78/30*50</f>
        <v>3.3000000000000003</v>
      </c>
      <c r="F91" s="2">
        <f>F78/30*50</f>
        <v>0.6</v>
      </c>
      <c r="G91" s="2">
        <f>G78/30*50</f>
        <v>16.7</v>
      </c>
      <c r="H91" s="2">
        <f>H78/30*50</f>
        <v>85.399999999999991</v>
      </c>
      <c r="I91" s="92">
        <f>E91*4</f>
        <v>13.200000000000001</v>
      </c>
      <c r="J91" s="92">
        <f>F91*9</f>
        <v>5.3999999999999995</v>
      </c>
      <c r="K91" s="92">
        <f>G91*4</f>
        <v>66.8</v>
      </c>
      <c r="L91" s="92">
        <f>SUM(I91:K91)</f>
        <v>85.4</v>
      </c>
      <c r="M91" s="85"/>
      <c r="N91" s="85"/>
      <c r="O91" s="85"/>
      <c r="P91" s="8"/>
      <c r="Q91" s="8"/>
      <c r="R91" s="8">
        <v>1.57</v>
      </c>
      <c r="S91" s="8"/>
    </row>
    <row r="92" spans="1:19" ht="18" customHeight="1">
      <c r="A92" s="48"/>
      <c r="B92" s="9" t="s">
        <v>22</v>
      </c>
      <c r="C92" s="51">
        <f t="shared" ref="C92:H92" si="16">SUM(C88:C91)</f>
        <v>680</v>
      </c>
      <c r="D92" s="36">
        <f t="shared" si="16"/>
        <v>68.082000000000008</v>
      </c>
      <c r="E92" s="36">
        <f t="shared" si="16"/>
        <v>23.1</v>
      </c>
      <c r="F92" s="36">
        <f t="shared" si="16"/>
        <v>23.703333333333333</v>
      </c>
      <c r="G92" s="36">
        <f t="shared" si="16"/>
        <v>100.46</v>
      </c>
      <c r="H92" s="36">
        <f t="shared" si="16"/>
        <v>707.57</v>
      </c>
      <c r="I92" s="37">
        <f>77/100*30</f>
        <v>23.1</v>
      </c>
      <c r="J92" s="37">
        <f>79/100*30</f>
        <v>23.700000000000003</v>
      </c>
      <c r="K92" s="37">
        <f>335/100*30</f>
        <v>100.5</v>
      </c>
      <c r="L92" s="37">
        <f>2350/100*30</f>
        <v>705</v>
      </c>
      <c r="M92" s="37"/>
      <c r="N92" s="37"/>
      <c r="O92" s="37"/>
      <c r="P92" s="89"/>
      <c r="R92" s="11">
        <f>SUM(R88:R91)</f>
        <v>41.07</v>
      </c>
    </row>
    <row r="93" spans="1:19" ht="18" customHeight="1">
      <c r="A93" s="48"/>
      <c r="B93" s="3" t="s">
        <v>9</v>
      </c>
      <c r="C93" s="51"/>
      <c r="D93" s="36"/>
      <c r="E93" s="36">
        <f>E86+E92</f>
        <v>38.501604938271612</v>
      </c>
      <c r="F93" s="36">
        <f>F86+F92</f>
        <v>39.548271604938265</v>
      </c>
      <c r="G93" s="36">
        <f>G86+G92</f>
        <v>167.45691358024689</v>
      </c>
      <c r="H93" s="36">
        <f>H86+H92</f>
        <v>1177.3700000000001</v>
      </c>
      <c r="I93" s="37">
        <f>I92-E92</f>
        <v>0</v>
      </c>
      <c r="J93" s="37">
        <f>J92-F92</f>
        <v>-3.3333333333303017E-3</v>
      </c>
      <c r="K93" s="37">
        <f>K92-G92</f>
        <v>4.0000000000006253E-2</v>
      </c>
      <c r="L93" s="37"/>
      <c r="M93" s="37"/>
      <c r="N93" s="37"/>
      <c r="O93" s="37"/>
    </row>
    <row r="94" spans="1:19" ht="18" customHeight="1">
      <c r="A94" s="117" t="s">
        <v>55</v>
      </c>
      <c r="B94" s="118"/>
      <c r="C94" s="54"/>
      <c r="D94" s="23"/>
      <c r="E94" s="23"/>
      <c r="F94" s="23"/>
      <c r="G94" s="23"/>
      <c r="H94" s="23"/>
      <c r="I94" s="18"/>
      <c r="J94" s="18"/>
      <c r="K94" s="18"/>
      <c r="L94" s="18"/>
      <c r="M94" s="18"/>
      <c r="N94" s="18"/>
      <c r="O94" s="18"/>
    </row>
    <row r="95" spans="1:19" ht="18" customHeight="1">
      <c r="A95" s="113" t="s">
        <v>10</v>
      </c>
      <c r="B95" s="113"/>
      <c r="C95" s="45"/>
      <c r="D95" s="37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1:19" ht="18" customHeight="1">
      <c r="A96" s="46">
        <v>241</v>
      </c>
      <c r="B96" s="28" t="s">
        <v>77</v>
      </c>
      <c r="C96" s="52">
        <v>130</v>
      </c>
      <c r="D96" s="42">
        <v>41.2</v>
      </c>
      <c r="E96" s="4">
        <v>11.6</v>
      </c>
      <c r="F96" s="4">
        <v>15.2</v>
      </c>
      <c r="G96" s="4">
        <f>7.2+25.47</f>
        <v>32.67</v>
      </c>
      <c r="H96" s="4">
        <v>313.88</v>
      </c>
      <c r="I96" s="92">
        <f>E96*4</f>
        <v>46.4</v>
      </c>
      <c r="J96" s="92">
        <f>F96*9</f>
        <v>136.79999999999998</v>
      </c>
      <c r="K96" s="92">
        <f>G96*4</f>
        <v>130.68</v>
      </c>
      <c r="L96" s="92">
        <f>SUM(I96:K96)</f>
        <v>313.88</v>
      </c>
      <c r="M96" s="84"/>
      <c r="N96" s="84"/>
      <c r="O96" s="84"/>
      <c r="P96" s="11">
        <v>19.354800000000001</v>
      </c>
      <c r="Q96" s="11">
        <v>2.64</v>
      </c>
      <c r="R96" s="11">
        <v>22</v>
      </c>
    </row>
    <row r="97" spans="1:19" ht="18" customHeight="1">
      <c r="A97" s="49" t="s">
        <v>43</v>
      </c>
      <c r="B97" s="4" t="s">
        <v>0</v>
      </c>
      <c r="C97" s="52">
        <v>40</v>
      </c>
      <c r="D97" s="21">
        <v>3.54</v>
      </c>
      <c r="E97" s="4">
        <f>7.9/100*30</f>
        <v>2.37</v>
      </c>
      <c r="F97" s="4">
        <f>1/100*30</f>
        <v>0.3</v>
      </c>
      <c r="G97" s="4">
        <f>48.3/100*30</f>
        <v>14.49</v>
      </c>
      <c r="H97" s="4">
        <v>70.14</v>
      </c>
      <c r="I97" s="92">
        <f>E97*4</f>
        <v>9.48</v>
      </c>
      <c r="J97" s="92">
        <f>F97*9</f>
        <v>2.6999999999999997</v>
      </c>
      <c r="K97" s="92">
        <f>G97*4</f>
        <v>57.96</v>
      </c>
      <c r="L97" s="92">
        <f>SUM(I97:K97)</f>
        <v>70.14</v>
      </c>
      <c r="M97" s="84"/>
      <c r="N97" s="84"/>
      <c r="O97" s="84"/>
      <c r="R97" s="11">
        <v>1.57</v>
      </c>
    </row>
    <row r="98" spans="1:19" ht="18" customHeight="1">
      <c r="A98" s="46">
        <v>307</v>
      </c>
      <c r="B98" s="26" t="s">
        <v>61</v>
      </c>
      <c r="C98" s="57">
        <v>200</v>
      </c>
      <c r="D98" s="21">
        <v>3.4</v>
      </c>
      <c r="E98" s="4">
        <v>0.1</v>
      </c>
      <c r="F98" s="4">
        <v>0</v>
      </c>
      <c r="G98" s="4">
        <v>15.2</v>
      </c>
      <c r="H98" s="78">
        <v>61</v>
      </c>
      <c r="I98" s="92">
        <f>E98*4</f>
        <v>0.4</v>
      </c>
      <c r="J98" s="92">
        <f>F98*9</f>
        <v>0</v>
      </c>
      <c r="K98" s="92">
        <f>G98*4</f>
        <v>60.8</v>
      </c>
      <c r="L98" s="92">
        <f>SUM(I98:K98)</f>
        <v>61.199999999999996</v>
      </c>
      <c r="M98" s="98"/>
      <c r="N98" s="98"/>
      <c r="O98" s="98"/>
      <c r="R98" s="11">
        <v>4.45</v>
      </c>
    </row>
    <row r="99" spans="1:19" ht="18" customHeight="1">
      <c r="A99" s="46" t="s">
        <v>42</v>
      </c>
      <c r="B99" s="14" t="s">
        <v>39</v>
      </c>
      <c r="C99" s="31">
        <v>100</v>
      </c>
      <c r="D99" s="42">
        <f>23-3.46+0.4</f>
        <v>19.939999999999998</v>
      </c>
      <c r="E99" s="17">
        <v>1.8225000000000005</v>
      </c>
      <c r="F99" s="17">
        <v>0.40500000000000003</v>
      </c>
      <c r="G99" s="17">
        <v>4.6425000000000001</v>
      </c>
      <c r="H99" s="17">
        <v>29.51</v>
      </c>
      <c r="I99" s="92">
        <f>E99*4</f>
        <v>7.2900000000000018</v>
      </c>
      <c r="J99" s="92">
        <f>F99*9</f>
        <v>3.6450000000000005</v>
      </c>
      <c r="K99" s="92">
        <f>G99*4</f>
        <v>18.57</v>
      </c>
      <c r="L99" s="92">
        <f>SUM(I99:K99)</f>
        <v>29.505000000000003</v>
      </c>
      <c r="M99" s="92"/>
      <c r="N99" s="92"/>
      <c r="O99" s="92"/>
      <c r="R99" s="11">
        <v>10.119999999999999</v>
      </c>
    </row>
    <row r="100" spans="1:19" ht="37.5" customHeight="1">
      <c r="A100" s="48"/>
      <c r="B100" s="9" t="s">
        <v>22</v>
      </c>
      <c r="C100" s="51">
        <f t="shared" ref="C100:H100" si="17">SUM(C96:C99)</f>
        <v>470</v>
      </c>
      <c r="D100" s="36">
        <f t="shared" si="17"/>
        <v>68.08</v>
      </c>
      <c r="E100" s="36">
        <f t="shared" si="17"/>
        <v>15.892499999999998</v>
      </c>
      <c r="F100" s="36">
        <f t="shared" si="17"/>
        <v>15.904999999999999</v>
      </c>
      <c r="G100" s="36">
        <f t="shared" si="17"/>
        <v>67.002499999999998</v>
      </c>
      <c r="H100" s="36">
        <f t="shared" si="17"/>
        <v>474.53</v>
      </c>
      <c r="I100" s="37">
        <f>77/100*20</f>
        <v>15.4</v>
      </c>
      <c r="J100" s="37">
        <f>79/100*20</f>
        <v>15.8</v>
      </c>
      <c r="K100" s="37">
        <f>335/100*20</f>
        <v>67</v>
      </c>
      <c r="L100" s="37">
        <f>2350/100*20</f>
        <v>470</v>
      </c>
      <c r="M100" s="37"/>
      <c r="N100" s="37"/>
      <c r="O100" s="37"/>
      <c r="P100" s="11">
        <f>71.54</f>
        <v>71.540000000000006</v>
      </c>
      <c r="Q100" s="89">
        <f>D100-P100</f>
        <v>-3.460000000000008</v>
      </c>
      <c r="R100" s="11">
        <f>SUM(R96:R99)</f>
        <v>38.14</v>
      </c>
    </row>
    <row r="101" spans="1:19" ht="18" customHeight="1">
      <c r="A101" s="112" t="s">
        <v>11</v>
      </c>
      <c r="B101" s="112"/>
      <c r="C101" s="35"/>
      <c r="D101" s="37"/>
      <c r="E101" s="18"/>
      <c r="F101" s="18"/>
      <c r="G101" s="18"/>
      <c r="H101" s="18"/>
      <c r="I101" s="18"/>
      <c r="J101" s="97">
        <f>J100-F100</f>
        <v>-0.10499999999999865</v>
      </c>
      <c r="K101" s="97">
        <f>K100-G100</f>
        <v>-2.4999999999977263E-3</v>
      </c>
      <c r="L101" s="18"/>
      <c r="M101" s="18"/>
      <c r="N101" s="18"/>
      <c r="O101" s="18"/>
    </row>
    <row r="102" spans="1:19" ht="18" customHeight="1">
      <c r="A102" s="46">
        <v>55</v>
      </c>
      <c r="B102" s="14" t="s">
        <v>49</v>
      </c>
      <c r="C102" s="58">
        <v>200</v>
      </c>
      <c r="D102" s="42">
        <v>11.74</v>
      </c>
      <c r="E102" s="19">
        <v>8.25</v>
      </c>
      <c r="F102" s="19">
        <f>9.7-3</f>
        <v>6.6999999999999993</v>
      </c>
      <c r="G102" s="19">
        <f>31.8-4</f>
        <v>27.8</v>
      </c>
      <c r="H102" s="19">
        <v>204.5</v>
      </c>
      <c r="I102" s="92">
        <f>E102*4</f>
        <v>33</v>
      </c>
      <c r="J102" s="92">
        <f>F102*9</f>
        <v>60.3</v>
      </c>
      <c r="K102" s="92">
        <f>G102*4</f>
        <v>111.2</v>
      </c>
      <c r="L102" s="92">
        <f>SUM(I102:K102)</f>
        <v>204.5</v>
      </c>
      <c r="M102" s="99"/>
      <c r="N102" s="99"/>
      <c r="O102" s="99"/>
      <c r="R102" s="11">
        <v>8.42</v>
      </c>
    </row>
    <row r="103" spans="1:19" ht="18" customHeight="1">
      <c r="A103" s="46">
        <v>99</v>
      </c>
      <c r="B103" s="26" t="s">
        <v>36</v>
      </c>
      <c r="C103" s="58">
        <v>90</v>
      </c>
      <c r="D103" s="21">
        <v>32</v>
      </c>
      <c r="E103" s="14">
        <v>8</v>
      </c>
      <c r="F103" s="14">
        <v>8.1999999999999993</v>
      </c>
      <c r="G103" s="14">
        <v>10.6</v>
      </c>
      <c r="H103" s="15">
        <v>148.19999999999999</v>
      </c>
      <c r="I103" s="92">
        <f>E103*4</f>
        <v>32</v>
      </c>
      <c r="J103" s="92">
        <f>F103*9</f>
        <v>73.8</v>
      </c>
      <c r="K103" s="92">
        <f>G103*4</f>
        <v>42.4</v>
      </c>
      <c r="L103" s="92">
        <f>SUM(I103:K103)</f>
        <v>148.19999999999999</v>
      </c>
      <c r="M103" s="95"/>
      <c r="N103" s="95"/>
      <c r="O103" s="95"/>
      <c r="R103" s="11">
        <v>12.6</v>
      </c>
    </row>
    <row r="104" spans="1:19" s="8" customFormat="1" ht="18" customHeight="1">
      <c r="A104" s="46">
        <v>146</v>
      </c>
      <c r="B104" s="4" t="s">
        <v>27</v>
      </c>
      <c r="C104" s="52">
        <v>120</v>
      </c>
      <c r="D104" s="42">
        <f>15-1.7</f>
        <v>13.3</v>
      </c>
      <c r="E104" s="22">
        <v>4.0999999999999996</v>
      </c>
      <c r="F104" s="22">
        <v>6.3</v>
      </c>
      <c r="G104" s="22">
        <v>34.200000000000003</v>
      </c>
      <c r="H104" s="22">
        <v>209.9</v>
      </c>
      <c r="I104" s="92">
        <f>E104*4</f>
        <v>16.399999999999999</v>
      </c>
      <c r="J104" s="92">
        <f>F104*9</f>
        <v>56.699999999999996</v>
      </c>
      <c r="K104" s="92">
        <f>G104*4</f>
        <v>136.80000000000001</v>
      </c>
      <c r="L104" s="92">
        <f>SUM(I104:K104)</f>
        <v>209.9</v>
      </c>
      <c r="M104" s="95"/>
      <c r="N104" s="95"/>
      <c r="O104" s="95"/>
      <c r="P104" s="11"/>
      <c r="Q104" s="11"/>
      <c r="R104" s="11">
        <v>10</v>
      </c>
      <c r="S104" s="11"/>
    </row>
    <row r="105" spans="1:19" s="8" customFormat="1" ht="18" customHeight="1">
      <c r="A105" s="46">
        <v>311</v>
      </c>
      <c r="B105" s="13" t="s">
        <v>28</v>
      </c>
      <c r="C105" s="31">
        <v>200</v>
      </c>
      <c r="D105" s="21">
        <v>7.5</v>
      </c>
      <c r="E105" s="22">
        <v>0.2</v>
      </c>
      <c r="F105" s="22">
        <v>0.1</v>
      </c>
      <c r="G105" s="22">
        <v>17.2</v>
      </c>
      <c r="H105" s="13">
        <v>70</v>
      </c>
      <c r="I105" s="92">
        <f>E105*4</f>
        <v>0.8</v>
      </c>
      <c r="J105" s="92">
        <f>F105*9</f>
        <v>0.9</v>
      </c>
      <c r="K105" s="92">
        <f>G105*4</f>
        <v>68.8</v>
      </c>
      <c r="L105" s="92">
        <f>SUM(I105:K105)</f>
        <v>70.5</v>
      </c>
      <c r="M105" s="86"/>
      <c r="N105" s="86"/>
      <c r="O105" s="86"/>
      <c r="R105" s="8">
        <v>3.4</v>
      </c>
    </row>
    <row r="106" spans="1:19" ht="18" customHeight="1">
      <c r="A106" s="49" t="s">
        <v>44</v>
      </c>
      <c r="B106" s="4" t="s">
        <v>5</v>
      </c>
      <c r="C106" s="52">
        <v>30</v>
      </c>
      <c r="D106" s="42">
        <v>3.54</v>
      </c>
      <c r="E106" s="2">
        <f>6.6/100*30</f>
        <v>1.98</v>
      </c>
      <c r="F106" s="53">
        <f>1.2/100*30</f>
        <v>0.36</v>
      </c>
      <c r="G106" s="2">
        <f>33.4/100*30</f>
        <v>10.02</v>
      </c>
      <c r="H106" s="2">
        <v>51.24</v>
      </c>
      <c r="I106" s="92">
        <f>E106*4</f>
        <v>7.92</v>
      </c>
      <c r="J106" s="92">
        <f>F106*9</f>
        <v>3.2399999999999998</v>
      </c>
      <c r="K106" s="92">
        <f>G106*4</f>
        <v>40.08</v>
      </c>
      <c r="L106" s="92">
        <f>SUM(I106:K106)</f>
        <v>51.239999999999995</v>
      </c>
      <c r="M106" s="85"/>
      <c r="N106" s="85"/>
      <c r="O106" s="85"/>
      <c r="P106" s="8"/>
      <c r="Q106" s="8"/>
      <c r="R106" s="8">
        <v>1.57</v>
      </c>
      <c r="S106" s="8"/>
    </row>
    <row r="107" spans="1:19" ht="18" customHeight="1">
      <c r="A107" s="48"/>
      <c r="B107" s="9" t="s">
        <v>22</v>
      </c>
      <c r="C107" s="51">
        <f t="shared" ref="C107:H107" si="18">SUM(C102:C106)</f>
        <v>640</v>
      </c>
      <c r="D107" s="87">
        <f t="shared" si="18"/>
        <v>68.080000000000013</v>
      </c>
      <c r="E107" s="81">
        <f t="shared" si="18"/>
        <v>22.53</v>
      </c>
      <c r="F107" s="81">
        <f t="shared" si="18"/>
        <v>21.66</v>
      </c>
      <c r="G107" s="81">
        <f t="shared" si="18"/>
        <v>99.82</v>
      </c>
      <c r="H107" s="81">
        <f t="shared" si="18"/>
        <v>683.84</v>
      </c>
      <c r="I107" s="37">
        <f>77/100*30</f>
        <v>23.1</v>
      </c>
      <c r="J107" s="37">
        <f>79/100*30</f>
        <v>23.700000000000003</v>
      </c>
      <c r="K107" s="37">
        <f>335/100*30</f>
        <v>100.5</v>
      </c>
      <c r="L107" s="37">
        <f>2350/100*30</f>
        <v>705</v>
      </c>
      <c r="M107" s="107"/>
      <c r="N107" s="107"/>
      <c r="O107" s="107"/>
      <c r="P107" s="11">
        <f>71.54</f>
        <v>71.540000000000006</v>
      </c>
      <c r="Q107" s="90">
        <f>D107-P107</f>
        <v>-3.4599999999999937</v>
      </c>
      <c r="R107" s="11">
        <f>SUM(R102:R106)</f>
        <v>35.99</v>
      </c>
    </row>
    <row r="108" spans="1:19" ht="18" customHeight="1">
      <c r="A108" s="48"/>
      <c r="B108" s="3" t="s">
        <v>9</v>
      </c>
      <c r="C108" s="51"/>
      <c r="D108" s="36"/>
      <c r="E108" s="36">
        <f>E100+E107</f>
        <v>38.422499999999999</v>
      </c>
      <c r="F108" s="36">
        <f>F100+F107</f>
        <v>37.564999999999998</v>
      </c>
      <c r="G108" s="36">
        <f>G100+G107</f>
        <v>166.82249999999999</v>
      </c>
      <c r="H108" s="36">
        <f>H100+H107</f>
        <v>1158.3699999999999</v>
      </c>
      <c r="I108" s="37"/>
      <c r="J108" s="37"/>
      <c r="K108" s="37"/>
      <c r="L108" s="37"/>
      <c r="M108" s="37"/>
      <c r="N108" s="37"/>
      <c r="O108" s="37"/>
    </row>
    <row r="109" spans="1:19" ht="18" customHeight="1">
      <c r="A109" s="117" t="s">
        <v>56</v>
      </c>
      <c r="B109" s="118"/>
      <c r="C109" s="54"/>
      <c r="D109" s="23"/>
      <c r="E109" s="23"/>
      <c r="F109" s="23"/>
      <c r="G109" s="23"/>
      <c r="H109" s="23"/>
      <c r="I109" s="18"/>
      <c r="J109" s="18"/>
      <c r="K109" s="18"/>
      <c r="L109" s="18"/>
      <c r="M109" s="18"/>
      <c r="N109" s="18"/>
      <c r="O109" s="18"/>
    </row>
    <row r="110" spans="1:19" ht="18" customHeight="1">
      <c r="A110" s="113" t="s">
        <v>12</v>
      </c>
      <c r="B110" s="113"/>
      <c r="C110" s="45"/>
      <c r="D110" s="37"/>
      <c r="E110" s="10"/>
      <c r="F110" s="10"/>
      <c r="G110" s="10"/>
      <c r="H110" s="18"/>
      <c r="I110" s="18"/>
      <c r="J110" s="18"/>
      <c r="K110" s="18"/>
      <c r="L110" s="18"/>
      <c r="M110" s="18"/>
      <c r="N110" s="18"/>
      <c r="O110" s="18"/>
    </row>
    <row r="111" spans="1:19" ht="18" customHeight="1">
      <c r="A111" s="46">
        <v>107</v>
      </c>
      <c r="B111" s="25" t="s">
        <v>50</v>
      </c>
      <c r="C111" s="57">
        <v>90</v>
      </c>
      <c r="D111" s="21">
        <v>41.6</v>
      </c>
      <c r="E111" s="22">
        <f>8+1.82</f>
        <v>9.82</v>
      </c>
      <c r="F111" s="22">
        <f>7.2+2.84</f>
        <v>10.039999999999999</v>
      </c>
      <c r="G111" s="22">
        <f>6.3+4.48</f>
        <v>10.780000000000001</v>
      </c>
      <c r="H111" s="22">
        <v>172.76</v>
      </c>
      <c r="I111" s="92">
        <f>E111*4</f>
        <v>39.28</v>
      </c>
      <c r="J111" s="92">
        <f>F111*9</f>
        <v>90.359999999999985</v>
      </c>
      <c r="K111" s="92">
        <f>G111*4</f>
        <v>43.120000000000005</v>
      </c>
      <c r="L111" s="92">
        <f>SUM(I111:K111)</f>
        <v>172.76</v>
      </c>
      <c r="M111" s="103"/>
      <c r="N111" s="103"/>
      <c r="O111" s="103"/>
      <c r="R111" s="11">
        <v>9.8000000000000007</v>
      </c>
    </row>
    <row r="112" spans="1:19" s="8" customFormat="1" ht="18" customHeight="1">
      <c r="A112" s="46">
        <v>227</v>
      </c>
      <c r="B112" s="26" t="s">
        <v>20</v>
      </c>
      <c r="C112" s="57">
        <v>150</v>
      </c>
      <c r="D112" s="42">
        <f>20/150*180-5-3.46+0.9</f>
        <v>16.439999999999998</v>
      </c>
      <c r="E112" s="17">
        <f>4.5+0.76</f>
        <v>5.26</v>
      </c>
      <c r="F112" s="17">
        <f>7.4-3.12</f>
        <v>4.28</v>
      </c>
      <c r="G112" s="17">
        <f>31-3.36</f>
        <v>27.64</v>
      </c>
      <c r="H112" s="17">
        <v>170.12</v>
      </c>
      <c r="I112" s="92">
        <f>E112*4</f>
        <v>21.04</v>
      </c>
      <c r="J112" s="92">
        <f>F112*9</f>
        <v>38.520000000000003</v>
      </c>
      <c r="K112" s="92">
        <f>G112*4</f>
        <v>110.56</v>
      </c>
      <c r="L112" s="92">
        <f>SUM(I112:K112)</f>
        <v>170.12</v>
      </c>
      <c r="M112" s="92"/>
      <c r="N112" s="92"/>
      <c r="O112" s="92"/>
      <c r="P112" s="11"/>
      <c r="Q112" s="11"/>
      <c r="R112" s="11">
        <v>8.77</v>
      </c>
      <c r="S112" s="11"/>
    </row>
    <row r="113" spans="1:19" ht="18" customHeight="1">
      <c r="A113" s="46">
        <v>300</v>
      </c>
      <c r="B113" s="26" t="s">
        <v>78</v>
      </c>
      <c r="C113" s="52">
        <v>200</v>
      </c>
      <c r="D113" s="21">
        <v>3.5</v>
      </c>
      <c r="E113" s="4">
        <v>0.1</v>
      </c>
      <c r="F113" s="4">
        <v>0</v>
      </c>
      <c r="G113" s="4">
        <v>15.2</v>
      </c>
      <c r="H113" s="4">
        <v>61</v>
      </c>
      <c r="I113" s="92">
        <f>E113*4</f>
        <v>0.4</v>
      </c>
      <c r="J113" s="92">
        <f>F113*9</f>
        <v>0</v>
      </c>
      <c r="K113" s="92">
        <f>G113*4</f>
        <v>60.8</v>
      </c>
      <c r="L113" s="92">
        <f>SUM(I113:K113)</f>
        <v>61.199999999999996</v>
      </c>
      <c r="M113" s="84"/>
      <c r="N113" s="84"/>
      <c r="O113" s="84"/>
      <c r="P113" s="8"/>
      <c r="Q113" s="8"/>
      <c r="R113" s="8">
        <v>2.16</v>
      </c>
      <c r="S113" s="8"/>
    </row>
    <row r="114" spans="1:19" ht="18" customHeight="1">
      <c r="A114" s="49" t="s">
        <v>43</v>
      </c>
      <c r="B114" s="4" t="s">
        <v>0</v>
      </c>
      <c r="C114" s="52">
        <v>30</v>
      </c>
      <c r="D114" s="21">
        <v>6.54</v>
      </c>
      <c r="E114" s="4">
        <f>7.9/100*30</f>
        <v>2.37</v>
      </c>
      <c r="F114" s="4">
        <f>1/100*30</f>
        <v>0.3</v>
      </c>
      <c r="G114" s="4">
        <f>48.3/100*30</f>
        <v>14.49</v>
      </c>
      <c r="H114" s="4">
        <v>70.14</v>
      </c>
      <c r="I114" s="92">
        <f>E114*4</f>
        <v>9.48</v>
      </c>
      <c r="J114" s="92">
        <f>F114*9</f>
        <v>2.6999999999999997</v>
      </c>
      <c r="K114" s="92">
        <f>G114*4</f>
        <v>57.96</v>
      </c>
      <c r="L114" s="92">
        <f>SUM(I114:K114)</f>
        <v>70.14</v>
      </c>
      <c r="M114" s="84"/>
      <c r="N114" s="84"/>
      <c r="O114" s="84"/>
      <c r="R114" s="11">
        <v>1.57</v>
      </c>
    </row>
    <row r="115" spans="1:19" ht="18" customHeight="1">
      <c r="A115" s="48"/>
      <c r="B115" s="9" t="s">
        <v>22</v>
      </c>
      <c r="C115" s="51">
        <f t="shared" ref="C115:H115" si="19">SUM(C111:C114)</f>
        <v>470</v>
      </c>
      <c r="D115" s="6">
        <f t="shared" si="19"/>
        <v>68.08</v>
      </c>
      <c r="E115" s="5">
        <f t="shared" si="19"/>
        <v>17.55</v>
      </c>
      <c r="F115" s="5">
        <f t="shared" si="19"/>
        <v>14.620000000000001</v>
      </c>
      <c r="G115" s="5">
        <f t="shared" si="19"/>
        <v>68.11</v>
      </c>
      <c r="H115" s="5">
        <f t="shared" si="19"/>
        <v>474.02</v>
      </c>
      <c r="I115" s="37">
        <f>77/100*20</f>
        <v>15.4</v>
      </c>
      <c r="J115" s="37">
        <f>79/100*20</f>
        <v>15.8</v>
      </c>
      <c r="K115" s="37">
        <f>335/100*20</f>
        <v>67</v>
      </c>
      <c r="L115" s="37">
        <f>2350/100*20</f>
        <v>470</v>
      </c>
      <c r="M115" s="10"/>
      <c r="N115" s="10"/>
      <c r="O115" s="10"/>
      <c r="P115" s="89">
        <f>71.54-D115</f>
        <v>3.460000000000008</v>
      </c>
      <c r="R115" s="11">
        <f>SUM(R111:R114)</f>
        <v>22.3</v>
      </c>
    </row>
    <row r="116" spans="1:19" ht="18" customHeight="1">
      <c r="A116" s="111" t="s">
        <v>11</v>
      </c>
      <c r="B116" s="112"/>
      <c r="C116" s="55"/>
      <c r="D116" s="37"/>
      <c r="E116" s="18"/>
      <c r="F116" s="18"/>
      <c r="G116" s="18"/>
      <c r="H116" s="18"/>
      <c r="I116" s="10">
        <f>E115-I115</f>
        <v>2.1500000000000004</v>
      </c>
      <c r="J116" s="10">
        <f>F115-J115</f>
        <v>-1.1799999999999997</v>
      </c>
      <c r="K116" s="10">
        <f>G115-K115</f>
        <v>1.1099999999999994</v>
      </c>
      <c r="L116" s="18"/>
      <c r="M116" s="18"/>
      <c r="N116" s="18"/>
      <c r="O116" s="18"/>
    </row>
    <row r="117" spans="1:19" ht="18" customHeight="1">
      <c r="A117" s="46">
        <v>65</v>
      </c>
      <c r="B117" s="20" t="s">
        <v>79</v>
      </c>
      <c r="C117" s="57">
        <v>200</v>
      </c>
      <c r="D117" s="39">
        <f>20/250*200-3.46</f>
        <v>12.54</v>
      </c>
      <c r="E117" s="13">
        <v>7.3</v>
      </c>
      <c r="F117" s="13">
        <f>4.4+3</f>
        <v>7.4</v>
      </c>
      <c r="G117" s="13">
        <v>30.8</v>
      </c>
      <c r="H117" s="13">
        <v>219</v>
      </c>
      <c r="I117" s="92">
        <f>E117*4</f>
        <v>29.2</v>
      </c>
      <c r="J117" s="92">
        <f>F117*9</f>
        <v>66.600000000000009</v>
      </c>
      <c r="K117" s="92">
        <f>G117*4</f>
        <v>123.2</v>
      </c>
      <c r="L117" s="92">
        <f>SUM(I117:K117)</f>
        <v>219</v>
      </c>
      <c r="M117" s="86"/>
      <c r="N117" s="86"/>
      <c r="O117" s="86"/>
      <c r="R117" s="11">
        <v>9.1300000000000008</v>
      </c>
    </row>
    <row r="118" spans="1:19" ht="18" customHeight="1">
      <c r="A118" s="46">
        <v>96</v>
      </c>
      <c r="B118" s="1" t="s">
        <v>81</v>
      </c>
      <c r="C118" s="30">
        <v>70</v>
      </c>
      <c r="D118" s="21">
        <f>44/90*70-5.05</f>
        <v>29.172222222222221</v>
      </c>
      <c r="E118" s="16">
        <v>10.02</v>
      </c>
      <c r="F118" s="16">
        <f>9.3+1.94</f>
        <v>11.24</v>
      </c>
      <c r="G118" s="16">
        <v>7.1</v>
      </c>
      <c r="H118" s="16">
        <v>168.18</v>
      </c>
      <c r="I118" s="92">
        <f>E118*4</f>
        <v>40.08</v>
      </c>
      <c r="J118" s="92">
        <f>F118*9</f>
        <v>101.16</v>
      </c>
      <c r="K118" s="92">
        <f>G118*4</f>
        <v>28.4</v>
      </c>
      <c r="L118" s="92">
        <f>SUM(I118:K118)</f>
        <v>169.64000000000001</v>
      </c>
      <c r="M118" s="105"/>
      <c r="N118" s="105"/>
      <c r="O118" s="105"/>
      <c r="R118" s="11">
        <v>22.5</v>
      </c>
    </row>
    <row r="119" spans="1:19" s="8" customFormat="1" ht="18" customHeight="1">
      <c r="A119" s="46">
        <v>187</v>
      </c>
      <c r="B119" s="4" t="s">
        <v>25</v>
      </c>
      <c r="C119" s="30">
        <v>150</v>
      </c>
      <c r="D119" s="21">
        <v>10</v>
      </c>
      <c r="E119" s="16">
        <v>4.4000000000000004</v>
      </c>
      <c r="F119" s="16">
        <v>4.7</v>
      </c>
      <c r="G119" s="16">
        <f>45-10.82</f>
        <v>34.18</v>
      </c>
      <c r="H119" s="16">
        <v>196.62</v>
      </c>
      <c r="I119" s="92">
        <f>E119*4</f>
        <v>17.600000000000001</v>
      </c>
      <c r="J119" s="92">
        <f>F119*9</f>
        <v>42.300000000000004</v>
      </c>
      <c r="K119" s="92">
        <f>G119*4</f>
        <v>136.72</v>
      </c>
      <c r="L119" s="92">
        <f>SUM(I119:K119)</f>
        <v>196.62</v>
      </c>
      <c r="M119" s="105"/>
      <c r="N119" s="105"/>
      <c r="O119" s="105"/>
      <c r="P119" s="11"/>
      <c r="Q119" s="11"/>
      <c r="R119" s="11">
        <v>5.25</v>
      </c>
      <c r="S119" s="11"/>
    </row>
    <row r="120" spans="1:19" s="8" customFormat="1" ht="18" customHeight="1">
      <c r="A120" s="46">
        <v>321</v>
      </c>
      <c r="B120" s="4" t="s">
        <v>60</v>
      </c>
      <c r="C120" s="52">
        <v>200</v>
      </c>
      <c r="D120" s="42">
        <f>R120*2.2</f>
        <v>12.826000000000001</v>
      </c>
      <c r="E120" s="14">
        <v>0.1</v>
      </c>
      <c r="F120" s="14">
        <v>0</v>
      </c>
      <c r="G120" s="14">
        <v>18.399999999999999</v>
      </c>
      <c r="H120" s="15">
        <v>74</v>
      </c>
      <c r="I120" s="92">
        <f>E120*4</f>
        <v>0.4</v>
      </c>
      <c r="J120" s="92">
        <f>F120*9</f>
        <v>0</v>
      </c>
      <c r="K120" s="92">
        <f>G120*4</f>
        <v>73.599999999999994</v>
      </c>
      <c r="L120" s="92">
        <f>SUM(I120:K120)</f>
        <v>74</v>
      </c>
      <c r="M120" s="94"/>
      <c r="N120" s="94"/>
      <c r="O120" s="94"/>
      <c r="R120" s="8">
        <v>5.83</v>
      </c>
    </row>
    <row r="121" spans="1:19" ht="18" customHeight="1">
      <c r="A121" s="49" t="s">
        <v>44</v>
      </c>
      <c r="B121" s="4" t="s">
        <v>5</v>
      </c>
      <c r="C121" s="52">
        <v>30</v>
      </c>
      <c r="D121" s="42">
        <v>3.54</v>
      </c>
      <c r="E121" s="2">
        <f>6.6/100*30</f>
        <v>1.98</v>
      </c>
      <c r="F121" s="53">
        <f>1.2/100*30</f>
        <v>0.36</v>
      </c>
      <c r="G121" s="2">
        <f>33.4/100*30</f>
        <v>10.02</v>
      </c>
      <c r="H121" s="2">
        <v>51.24</v>
      </c>
      <c r="I121" s="92">
        <f>E121*4</f>
        <v>7.92</v>
      </c>
      <c r="J121" s="92">
        <f>F121*9</f>
        <v>3.2399999999999998</v>
      </c>
      <c r="K121" s="92">
        <f>G121*4</f>
        <v>40.08</v>
      </c>
      <c r="L121" s="92">
        <f>SUM(I121:K121)</f>
        <v>51.239999999999995</v>
      </c>
      <c r="M121" s="85"/>
      <c r="N121" s="85"/>
      <c r="O121" s="85"/>
      <c r="P121" s="8"/>
      <c r="Q121" s="8"/>
      <c r="R121" s="8">
        <v>1.57</v>
      </c>
      <c r="S121" s="8"/>
    </row>
    <row r="122" spans="1:19" ht="18" customHeight="1">
      <c r="A122" s="48"/>
      <c r="B122" s="9" t="s">
        <v>22</v>
      </c>
      <c r="C122" s="51">
        <f t="shared" ref="C122:H122" si="20">SUM(C117:C121)</f>
        <v>650</v>
      </c>
      <c r="D122" s="36">
        <f t="shared" si="20"/>
        <v>68.078222222222237</v>
      </c>
      <c r="E122" s="5">
        <f t="shared" si="20"/>
        <v>23.8</v>
      </c>
      <c r="F122" s="5">
        <f t="shared" si="20"/>
        <v>23.7</v>
      </c>
      <c r="G122" s="5">
        <f t="shared" si="20"/>
        <v>100.49999999999999</v>
      </c>
      <c r="H122" s="5">
        <f t="shared" si="20"/>
        <v>709.04</v>
      </c>
      <c r="I122" s="37">
        <f>77/100*30</f>
        <v>23.1</v>
      </c>
      <c r="J122" s="37">
        <f>79/100*30</f>
        <v>23.700000000000003</v>
      </c>
      <c r="K122" s="37">
        <f>335/100*30</f>
        <v>100.5</v>
      </c>
      <c r="L122" s="37">
        <f>2350/100*30</f>
        <v>705</v>
      </c>
      <c r="M122" s="10"/>
      <c r="N122" s="10"/>
      <c r="O122" s="10"/>
      <c r="P122" s="89">
        <f>71.54-D122</f>
        <v>3.461777777777769</v>
      </c>
      <c r="R122" s="11">
        <f>SUM(R117:R121)</f>
        <v>44.28</v>
      </c>
    </row>
    <row r="123" spans="1:19" ht="18" customHeight="1">
      <c r="A123" s="48"/>
      <c r="B123" s="3" t="s">
        <v>9</v>
      </c>
      <c r="C123" s="51"/>
      <c r="D123" s="36"/>
      <c r="E123" s="6">
        <f>E115+E122</f>
        <v>41.35</v>
      </c>
      <c r="F123" s="6">
        <f>F115+F122</f>
        <v>38.32</v>
      </c>
      <c r="G123" s="6">
        <f>G115+G122</f>
        <v>168.60999999999999</v>
      </c>
      <c r="H123" s="6">
        <f>H115+H122</f>
        <v>1183.06</v>
      </c>
      <c r="I123" s="97">
        <f>E122-I122</f>
        <v>0.69999999999999929</v>
      </c>
      <c r="J123" s="97">
        <f>F122-J122</f>
        <v>0</v>
      </c>
      <c r="K123" s="97">
        <f>G122-K122</f>
        <v>0</v>
      </c>
      <c r="L123" s="97"/>
      <c r="M123" s="97"/>
      <c r="N123" s="97"/>
      <c r="O123" s="97"/>
    </row>
    <row r="124" spans="1:19" ht="18" customHeight="1">
      <c r="A124" s="111" t="s">
        <v>57</v>
      </c>
      <c r="B124" s="112"/>
      <c r="C124" s="35"/>
      <c r="D124" s="34"/>
      <c r="E124" s="23"/>
      <c r="F124" s="23"/>
      <c r="G124" s="23"/>
      <c r="H124" s="34"/>
      <c r="I124" s="18"/>
      <c r="J124" s="18"/>
      <c r="K124" s="18"/>
      <c r="L124" s="18"/>
      <c r="M124" s="18"/>
      <c r="N124" s="18"/>
      <c r="O124" s="18"/>
    </row>
    <row r="125" spans="1:19" ht="18" customHeight="1">
      <c r="A125" s="111" t="s">
        <v>12</v>
      </c>
      <c r="B125" s="112"/>
      <c r="C125" s="55"/>
      <c r="D125" s="36"/>
      <c r="E125" s="3"/>
      <c r="F125" s="3"/>
      <c r="G125" s="3"/>
      <c r="H125" s="3"/>
      <c r="I125" s="18"/>
      <c r="J125" s="18"/>
      <c r="K125" s="18"/>
      <c r="L125" s="18"/>
      <c r="M125" s="18"/>
      <c r="N125" s="18"/>
      <c r="O125" s="18"/>
    </row>
    <row r="126" spans="1:19" ht="18" customHeight="1">
      <c r="A126" s="46">
        <v>258</v>
      </c>
      <c r="B126" s="4" t="s">
        <v>69</v>
      </c>
      <c r="C126" s="52">
        <v>170</v>
      </c>
      <c r="D126" s="42">
        <v>46.04</v>
      </c>
      <c r="E126" s="17">
        <v>11.75</v>
      </c>
      <c r="F126" s="17">
        <v>15.3</v>
      </c>
      <c r="G126" s="17">
        <v>52.16</v>
      </c>
      <c r="H126" s="17">
        <v>393.34</v>
      </c>
      <c r="I126" s="92">
        <f>E126*4</f>
        <v>47</v>
      </c>
      <c r="J126" s="92">
        <f>F126*9</f>
        <v>137.70000000000002</v>
      </c>
      <c r="K126" s="92">
        <f>G126*4</f>
        <v>208.64</v>
      </c>
      <c r="L126" s="92">
        <f>SUM(I126:K126)</f>
        <v>393.34000000000003</v>
      </c>
      <c r="M126" s="92"/>
      <c r="N126" s="92"/>
      <c r="O126" s="92"/>
      <c r="P126" s="11">
        <f>141*0.13</f>
        <v>18.330000000000002</v>
      </c>
      <c r="Q126" s="11">
        <f>0.02*263.79</f>
        <v>5.2758000000000003</v>
      </c>
      <c r="R126" s="11">
        <f>SUM(P126:Q126)</f>
        <v>23.605800000000002</v>
      </c>
    </row>
    <row r="127" spans="1:19" s="8" customFormat="1" ht="18" customHeight="1">
      <c r="A127" s="46">
        <v>307</v>
      </c>
      <c r="B127" s="26" t="s">
        <v>61</v>
      </c>
      <c r="C127" s="52">
        <v>200</v>
      </c>
      <c r="D127" s="21">
        <v>3.4</v>
      </c>
      <c r="E127" s="80">
        <v>0.2</v>
      </c>
      <c r="F127" s="80">
        <v>0</v>
      </c>
      <c r="G127" s="80">
        <v>9</v>
      </c>
      <c r="H127" s="80">
        <v>38</v>
      </c>
      <c r="I127" s="92">
        <f>E127*4</f>
        <v>0.8</v>
      </c>
      <c r="J127" s="92">
        <f>F127*9</f>
        <v>0</v>
      </c>
      <c r="K127" s="92">
        <f>G127*4</f>
        <v>36</v>
      </c>
      <c r="L127" s="92">
        <f>SUM(I127:K127)</f>
        <v>36.799999999999997</v>
      </c>
      <c r="M127" s="108"/>
      <c r="N127" s="108"/>
      <c r="O127" s="108"/>
      <c r="P127" s="11"/>
      <c r="Q127" s="11"/>
      <c r="R127" s="11"/>
      <c r="S127" s="11"/>
    </row>
    <row r="128" spans="1:19" ht="18" customHeight="1">
      <c r="A128" s="46" t="s">
        <v>42</v>
      </c>
      <c r="B128" s="4" t="s">
        <v>39</v>
      </c>
      <c r="C128" s="31">
        <v>100</v>
      </c>
      <c r="D128" s="42">
        <f>19-3.46+3.1</f>
        <v>18.64</v>
      </c>
      <c r="E128" s="17">
        <v>1.8225000000000005</v>
      </c>
      <c r="F128" s="17">
        <v>0.40500000000000003</v>
      </c>
      <c r="G128" s="17">
        <v>4.6425000000000001</v>
      </c>
      <c r="H128" s="17">
        <v>29.51</v>
      </c>
      <c r="I128" s="92">
        <f>E128*4</f>
        <v>7.2900000000000018</v>
      </c>
      <c r="J128" s="92">
        <f>F128*9</f>
        <v>3.6450000000000005</v>
      </c>
      <c r="K128" s="92">
        <f>G128*4</f>
        <v>18.57</v>
      </c>
      <c r="L128" s="92">
        <f>SUM(I128:K128)</f>
        <v>29.505000000000003</v>
      </c>
      <c r="M128" s="92"/>
      <c r="N128" s="92"/>
      <c r="O128" s="92"/>
      <c r="P128" s="8"/>
      <c r="Q128" s="8"/>
      <c r="R128" s="8"/>
      <c r="S128" s="8"/>
    </row>
    <row r="129" spans="1:18" ht="18" customHeight="1">
      <c r="A129" s="48"/>
      <c r="B129" s="9" t="s">
        <v>22</v>
      </c>
      <c r="C129" s="51">
        <f t="shared" ref="C129:H129" si="21">SUM(C126:C128)</f>
        <v>470</v>
      </c>
      <c r="D129" s="36">
        <f t="shared" si="21"/>
        <v>68.08</v>
      </c>
      <c r="E129" s="6">
        <f t="shared" si="21"/>
        <v>13.772499999999999</v>
      </c>
      <c r="F129" s="6">
        <f t="shared" si="21"/>
        <v>15.705</v>
      </c>
      <c r="G129" s="6">
        <f t="shared" si="21"/>
        <v>65.802499999999995</v>
      </c>
      <c r="H129" s="6">
        <f t="shared" si="21"/>
        <v>460.84999999999997</v>
      </c>
      <c r="I129" s="37">
        <f>77/100*20</f>
        <v>15.4</v>
      </c>
      <c r="J129" s="37">
        <f>79/100*20</f>
        <v>15.8</v>
      </c>
      <c r="K129" s="37">
        <f>335/100*20</f>
        <v>67</v>
      </c>
      <c r="L129" s="37">
        <f>2350/100*20</f>
        <v>470</v>
      </c>
      <c r="M129" s="97">
        <f>L129/100*5</f>
        <v>23.5</v>
      </c>
      <c r="N129" s="97"/>
      <c r="O129" s="97"/>
      <c r="P129" s="89"/>
    </row>
    <row r="130" spans="1:18" ht="18" customHeight="1">
      <c r="A130" s="50"/>
      <c r="B130" s="29"/>
      <c r="C130" s="63"/>
      <c r="D130" s="37"/>
      <c r="E130" s="10"/>
      <c r="F130" s="10"/>
      <c r="G130" s="10"/>
      <c r="H130" s="10"/>
      <c r="I130" s="10">
        <f>I129-E129</f>
        <v>1.6275000000000013</v>
      </c>
      <c r="J130" s="10">
        <f>J129-F129</f>
        <v>9.5000000000000639E-2</v>
      </c>
      <c r="K130" s="10">
        <f>K129-G129</f>
        <v>1.1975000000000051</v>
      </c>
      <c r="L130" s="10"/>
      <c r="M130" s="10"/>
      <c r="N130" s="10"/>
      <c r="O130" s="10"/>
    </row>
    <row r="131" spans="1:18" ht="18" customHeight="1">
      <c r="A131" s="113" t="s">
        <v>11</v>
      </c>
      <c r="B131" s="113"/>
      <c r="C131" s="45"/>
      <c r="D131" s="37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</row>
    <row r="132" spans="1:18" ht="18" customHeight="1">
      <c r="A132" s="46">
        <v>56</v>
      </c>
      <c r="B132" s="26" t="s">
        <v>35</v>
      </c>
      <c r="C132" s="57">
        <v>200</v>
      </c>
      <c r="D132" s="42">
        <f>16/250*200</f>
        <v>12.8</v>
      </c>
      <c r="E132" s="19">
        <f>E15/250*200</f>
        <v>1.92</v>
      </c>
      <c r="F132" s="19">
        <f>F15/250*200</f>
        <v>6.4</v>
      </c>
      <c r="G132" s="14">
        <f>G15/250*200</f>
        <v>24.56</v>
      </c>
      <c r="H132" s="14">
        <v>163.52000000000001</v>
      </c>
      <c r="I132" s="92">
        <f t="shared" ref="I132:I137" si="22">E132*4</f>
        <v>7.68</v>
      </c>
      <c r="J132" s="92">
        <f t="shared" ref="J132:J137" si="23">F132*9</f>
        <v>57.6</v>
      </c>
      <c r="K132" s="92">
        <f t="shared" ref="K132:K137" si="24">G132*4</f>
        <v>98.24</v>
      </c>
      <c r="L132" s="92">
        <f t="shared" ref="L132:L137" si="25">SUM(I132:K132)</f>
        <v>163.51999999999998</v>
      </c>
      <c r="M132" s="101"/>
      <c r="N132" s="101"/>
      <c r="O132" s="101"/>
      <c r="R132" s="11">
        <v>8.6999999999999993</v>
      </c>
    </row>
    <row r="133" spans="1:18" ht="18" customHeight="1">
      <c r="A133" s="46">
        <v>132</v>
      </c>
      <c r="B133" s="33" t="s">
        <v>85</v>
      </c>
      <c r="C133" s="62">
        <v>90</v>
      </c>
      <c r="D133" s="39">
        <f>R133*2.2-22.69</f>
        <v>35.72</v>
      </c>
      <c r="E133" s="32">
        <f>24.4/220*170-7-3.5</f>
        <v>8.3545454545454518</v>
      </c>
      <c r="F133" s="32">
        <f>15.27-7</f>
        <v>8.27</v>
      </c>
      <c r="G133" s="32">
        <v>12</v>
      </c>
      <c r="H133" s="32">
        <v>155.85</v>
      </c>
      <c r="I133" s="92">
        <f t="shared" si="22"/>
        <v>33.418181818181807</v>
      </c>
      <c r="J133" s="92">
        <f t="shared" si="23"/>
        <v>74.429999999999993</v>
      </c>
      <c r="K133" s="92">
        <f t="shared" si="24"/>
        <v>48</v>
      </c>
      <c r="L133" s="92">
        <f t="shared" si="25"/>
        <v>155.84818181818179</v>
      </c>
      <c r="M133" s="103"/>
      <c r="N133" s="103"/>
      <c r="O133" s="103"/>
      <c r="R133" s="11">
        <v>26.55</v>
      </c>
    </row>
    <row r="134" spans="1:18" ht="18" customHeight="1">
      <c r="A134" s="46">
        <v>158</v>
      </c>
      <c r="B134" s="1" t="s">
        <v>67</v>
      </c>
      <c r="C134" s="30">
        <v>150</v>
      </c>
      <c r="D134" s="21">
        <f>12-3.46</f>
        <v>8.5399999999999991</v>
      </c>
      <c r="E134" s="14">
        <f>E17/150*180-3.5</f>
        <v>9.2200000000000006</v>
      </c>
      <c r="F134" s="14">
        <f>F17/150*180</f>
        <v>8.16</v>
      </c>
      <c r="G134" s="14">
        <v>18.36</v>
      </c>
      <c r="H134" s="14">
        <v>183.76</v>
      </c>
      <c r="I134" s="92">
        <f t="shared" si="22"/>
        <v>36.880000000000003</v>
      </c>
      <c r="J134" s="92">
        <f t="shared" si="23"/>
        <v>73.44</v>
      </c>
      <c r="K134" s="92">
        <f t="shared" si="24"/>
        <v>73.44</v>
      </c>
      <c r="L134" s="92">
        <f t="shared" si="25"/>
        <v>183.76</v>
      </c>
      <c r="M134" s="101"/>
      <c r="N134" s="101"/>
      <c r="O134" s="101"/>
      <c r="R134" s="11">
        <v>8.34</v>
      </c>
    </row>
    <row r="135" spans="1:18" ht="18" customHeight="1">
      <c r="A135" s="46">
        <v>319</v>
      </c>
      <c r="B135" s="13" t="s">
        <v>64</v>
      </c>
      <c r="C135" s="52">
        <v>200</v>
      </c>
      <c r="D135" s="21">
        <f>R135*2.2</f>
        <v>7.48</v>
      </c>
      <c r="E135" s="22">
        <v>0.7</v>
      </c>
      <c r="F135" s="22">
        <v>0.3</v>
      </c>
      <c r="G135" s="22">
        <v>29</v>
      </c>
      <c r="H135" s="13">
        <v>121.5</v>
      </c>
      <c r="I135" s="92">
        <f t="shared" si="22"/>
        <v>2.8</v>
      </c>
      <c r="J135" s="92">
        <f t="shared" si="23"/>
        <v>2.6999999999999997</v>
      </c>
      <c r="K135" s="92">
        <f t="shared" si="24"/>
        <v>116</v>
      </c>
      <c r="L135" s="92">
        <f t="shared" si="25"/>
        <v>121.5</v>
      </c>
      <c r="M135" s="86"/>
      <c r="N135" s="86"/>
      <c r="O135" s="86"/>
      <c r="R135" s="11">
        <v>3.4</v>
      </c>
    </row>
    <row r="136" spans="1:18" ht="18" customHeight="1">
      <c r="A136" s="49" t="s">
        <v>44</v>
      </c>
      <c r="B136" s="4" t="s">
        <v>5</v>
      </c>
      <c r="C136" s="52">
        <v>30</v>
      </c>
      <c r="D136" s="42">
        <v>3.54</v>
      </c>
      <c r="E136" s="2">
        <v>3.3000000000000003</v>
      </c>
      <c r="F136" s="53">
        <v>0.6</v>
      </c>
      <c r="G136" s="2">
        <v>16.7</v>
      </c>
      <c r="H136" s="2">
        <v>85.399999999999991</v>
      </c>
      <c r="I136" s="92">
        <f t="shared" si="22"/>
        <v>13.200000000000001</v>
      </c>
      <c r="J136" s="92">
        <f t="shared" si="23"/>
        <v>5.3999999999999995</v>
      </c>
      <c r="K136" s="92">
        <f t="shared" si="24"/>
        <v>66.8</v>
      </c>
      <c r="L136" s="92">
        <f t="shared" si="25"/>
        <v>85.4</v>
      </c>
      <c r="M136" s="85"/>
      <c r="N136" s="85"/>
      <c r="O136" s="85"/>
      <c r="R136" s="11">
        <v>1.57</v>
      </c>
    </row>
    <row r="137" spans="1:18" ht="18" customHeight="1">
      <c r="A137" s="46"/>
      <c r="B137" s="9" t="s">
        <v>22</v>
      </c>
      <c r="C137" s="51">
        <f t="shared" ref="C137:H137" si="26">SUM(C132:C136)</f>
        <v>670</v>
      </c>
      <c r="D137" s="36">
        <f t="shared" si="26"/>
        <v>68.08</v>
      </c>
      <c r="E137" s="5">
        <f t="shared" si="26"/>
        <v>23.494545454545452</v>
      </c>
      <c r="F137" s="5">
        <f t="shared" si="26"/>
        <v>23.73</v>
      </c>
      <c r="G137" s="5">
        <f t="shared" si="26"/>
        <v>100.62</v>
      </c>
      <c r="H137" s="5">
        <f t="shared" si="26"/>
        <v>710.03</v>
      </c>
      <c r="I137" s="92">
        <f t="shared" si="22"/>
        <v>93.97818181818181</v>
      </c>
      <c r="J137" s="92">
        <f t="shared" si="23"/>
        <v>213.57</v>
      </c>
      <c r="K137" s="92">
        <f t="shared" si="24"/>
        <v>402.48</v>
      </c>
      <c r="L137" s="92">
        <f t="shared" si="25"/>
        <v>710.02818181818179</v>
      </c>
      <c r="M137" s="10"/>
      <c r="N137" s="10"/>
      <c r="O137" s="10"/>
      <c r="P137" s="89">
        <f>71.54-D137</f>
        <v>3.460000000000008</v>
      </c>
      <c r="R137" s="11">
        <f>SUM(R132:R136)</f>
        <v>48.56</v>
      </c>
    </row>
    <row r="138" spans="1:18" ht="18" customHeight="1">
      <c r="A138" s="46"/>
      <c r="B138" s="9"/>
      <c r="C138" s="51"/>
      <c r="D138" s="36"/>
      <c r="E138" s="5">
        <f>E129+E137</f>
        <v>37.267045454545453</v>
      </c>
      <c r="F138" s="5">
        <f>F129+F137</f>
        <v>39.435000000000002</v>
      </c>
      <c r="G138" s="5">
        <f>G129+G137</f>
        <v>166.42250000000001</v>
      </c>
      <c r="H138" s="5">
        <f>H129+H137</f>
        <v>1170.8799999999999</v>
      </c>
      <c r="I138" s="37">
        <f>77/100*30</f>
        <v>23.1</v>
      </c>
      <c r="J138" s="37">
        <f>79/100*30</f>
        <v>23.700000000000003</v>
      </c>
      <c r="K138" s="37">
        <f>335/100*30</f>
        <v>100.5</v>
      </c>
      <c r="L138" s="37">
        <f>2350/100*30</f>
        <v>705</v>
      </c>
      <c r="M138" s="10"/>
      <c r="N138" s="10"/>
      <c r="O138" s="10"/>
    </row>
    <row r="139" spans="1:18" ht="18" customHeight="1">
      <c r="A139" s="117" t="s">
        <v>58</v>
      </c>
      <c r="B139" s="118"/>
      <c r="C139" s="54"/>
      <c r="D139" s="23"/>
      <c r="E139" s="23"/>
      <c r="F139" s="23"/>
      <c r="G139" s="23"/>
      <c r="H139" s="23"/>
      <c r="I139" s="10">
        <f>E137-I138</f>
        <v>0.39454545454545098</v>
      </c>
      <c r="J139" s="10">
        <f>F137-J138</f>
        <v>2.9999999999997584E-2</v>
      </c>
      <c r="K139" s="10">
        <f>G137-K138</f>
        <v>0.12000000000000455</v>
      </c>
      <c r="L139" s="18"/>
      <c r="M139" s="18"/>
      <c r="N139" s="18"/>
      <c r="O139" s="18"/>
    </row>
    <row r="140" spans="1:18" ht="18" customHeight="1">
      <c r="A140" s="113" t="s">
        <v>12</v>
      </c>
      <c r="B140" s="113"/>
      <c r="C140" s="45"/>
      <c r="D140" s="37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</row>
    <row r="141" spans="1:18" ht="18" customHeight="1">
      <c r="A141" s="49" t="s">
        <v>45</v>
      </c>
      <c r="B141" s="1" t="s">
        <v>21</v>
      </c>
      <c r="C141" s="58">
        <v>150</v>
      </c>
      <c r="D141" s="42">
        <v>12</v>
      </c>
      <c r="E141" s="14">
        <v>2.6</v>
      </c>
      <c r="F141" s="14">
        <v>6.8</v>
      </c>
      <c r="G141" s="14">
        <v>10.3</v>
      </c>
      <c r="H141" s="15">
        <v>112.8</v>
      </c>
      <c r="I141" s="92">
        <f>E141*4</f>
        <v>10.4</v>
      </c>
      <c r="J141" s="92">
        <f>F141*9</f>
        <v>61.199999999999996</v>
      </c>
      <c r="K141" s="92">
        <f>G141*4</f>
        <v>41.2</v>
      </c>
      <c r="L141" s="92">
        <f>SUM(I141:K141)</f>
        <v>112.8</v>
      </c>
      <c r="M141" s="94"/>
      <c r="N141" s="94"/>
      <c r="O141" s="94"/>
      <c r="R141" s="11">
        <v>5.25</v>
      </c>
    </row>
    <row r="142" spans="1:18" ht="18" customHeight="1">
      <c r="A142" s="46">
        <v>136</v>
      </c>
      <c r="B142" s="26" t="s">
        <v>51</v>
      </c>
      <c r="C142" s="58">
        <v>100</v>
      </c>
      <c r="D142" s="42">
        <v>32.5</v>
      </c>
      <c r="E142" s="21">
        <v>8.5</v>
      </c>
      <c r="F142" s="21">
        <f>19.3-12</f>
        <v>7.3000000000000007</v>
      </c>
      <c r="G142" s="21">
        <v>8.9</v>
      </c>
      <c r="H142" s="21">
        <v>135.30000000000001</v>
      </c>
      <c r="I142" s="92">
        <f>E142*4</f>
        <v>34</v>
      </c>
      <c r="J142" s="92">
        <f>F142*9</f>
        <v>65.7</v>
      </c>
      <c r="K142" s="92">
        <f>G142*4</f>
        <v>35.6</v>
      </c>
      <c r="L142" s="92">
        <f>SUM(I142:K142)</f>
        <v>135.30000000000001</v>
      </c>
      <c r="M142" s="100"/>
      <c r="N142" s="100"/>
      <c r="O142" s="100"/>
      <c r="R142" s="11">
        <v>11.273</v>
      </c>
    </row>
    <row r="143" spans="1:18" ht="18" customHeight="1">
      <c r="A143" s="46">
        <v>300</v>
      </c>
      <c r="B143" s="26" t="s">
        <v>30</v>
      </c>
      <c r="C143" s="52">
        <v>200</v>
      </c>
      <c r="D143" s="21">
        <v>2.5</v>
      </c>
      <c r="E143" s="4">
        <v>0.1</v>
      </c>
      <c r="F143" s="4">
        <v>0</v>
      </c>
      <c r="G143" s="4">
        <v>20.2</v>
      </c>
      <c r="H143" s="4">
        <v>81.2</v>
      </c>
      <c r="I143" s="92">
        <f>E143*4</f>
        <v>0.4</v>
      </c>
      <c r="J143" s="92">
        <f>F143*9</f>
        <v>0</v>
      </c>
      <c r="K143" s="92">
        <f>G143*4</f>
        <v>80.8</v>
      </c>
      <c r="L143" s="92">
        <f>SUM(I143:K143)</f>
        <v>81.2</v>
      </c>
      <c r="M143" s="84"/>
      <c r="N143" s="84"/>
      <c r="O143" s="84"/>
      <c r="R143" s="11">
        <v>2.16</v>
      </c>
    </row>
    <row r="144" spans="1:18" ht="18" customHeight="1">
      <c r="A144" s="49" t="s">
        <v>46</v>
      </c>
      <c r="B144" s="2" t="s">
        <v>23</v>
      </c>
      <c r="C144" s="30">
        <v>10</v>
      </c>
      <c r="D144" s="21">
        <f>R144*2.2-2.68-3.46</f>
        <v>14.540000000000003</v>
      </c>
      <c r="E144" s="16">
        <v>2.8</v>
      </c>
      <c r="F144" s="16">
        <v>6</v>
      </c>
      <c r="G144" s="16">
        <v>2</v>
      </c>
      <c r="H144" s="79">
        <v>73.2</v>
      </c>
      <c r="I144" s="92">
        <f>E144*4</f>
        <v>11.2</v>
      </c>
      <c r="J144" s="92">
        <f>F144*9</f>
        <v>54</v>
      </c>
      <c r="K144" s="92">
        <f>G144*4</f>
        <v>8</v>
      </c>
      <c r="L144" s="92">
        <f>SUM(I144:K144)</f>
        <v>73.2</v>
      </c>
      <c r="M144" s="109"/>
      <c r="N144" s="109"/>
      <c r="O144" s="109"/>
      <c r="R144" s="11">
        <v>9.4</v>
      </c>
    </row>
    <row r="145" spans="1:28" ht="18" customHeight="1">
      <c r="A145" s="49" t="s">
        <v>43</v>
      </c>
      <c r="B145" s="4" t="s">
        <v>0</v>
      </c>
      <c r="C145" s="52">
        <v>30</v>
      </c>
      <c r="D145" s="21">
        <v>6.54</v>
      </c>
      <c r="E145" s="4">
        <f>7.9/100*30</f>
        <v>2.37</v>
      </c>
      <c r="F145" s="4">
        <f>1/100*30</f>
        <v>0.3</v>
      </c>
      <c r="G145" s="4">
        <f>48.3/100*30</f>
        <v>14.49</v>
      </c>
      <c r="H145" s="4">
        <v>70.14</v>
      </c>
      <c r="I145" s="92">
        <f>E145*4</f>
        <v>9.48</v>
      </c>
      <c r="J145" s="92">
        <f>F145*9</f>
        <v>2.6999999999999997</v>
      </c>
      <c r="K145" s="92">
        <f>G145*4</f>
        <v>57.96</v>
      </c>
      <c r="L145" s="92">
        <f>SUM(I145:K145)</f>
        <v>70.14</v>
      </c>
      <c r="M145" s="84"/>
      <c r="N145" s="84"/>
      <c r="O145" s="84"/>
      <c r="R145" s="11">
        <v>1.57</v>
      </c>
    </row>
    <row r="146" spans="1:28" ht="18" customHeight="1">
      <c r="A146" s="48"/>
      <c r="B146" s="9" t="s">
        <v>22</v>
      </c>
      <c r="C146" s="51">
        <f t="shared" ref="C146:H146" si="27">SUM(C141:C145)</f>
        <v>490</v>
      </c>
      <c r="D146" s="6">
        <f t="shared" si="27"/>
        <v>68.080000000000013</v>
      </c>
      <c r="E146" s="5">
        <f t="shared" si="27"/>
        <v>16.37</v>
      </c>
      <c r="F146" s="5">
        <f t="shared" si="27"/>
        <v>20.400000000000002</v>
      </c>
      <c r="G146" s="5">
        <f t="shared" si="27"/>
        <v>55.890000000000008</v>
      </c>
      <c r="H146" s="5">
        <f t="shared" si="27"/>
        <v>472.64</v>
      </c>
      <c r="I146" s="37">
        <f>77/100*20</f>
        <v>15.4</v>
      </c>
      <c r="J146" s="37">
        <f>79/100*20</f>
        <v>15.8</v>
      </c>
      <c r="K146" s="37">
        <f>335/100*20</f>
        <v>67</v>
      </c>
      <c r="L146" s="37">
        <f>2350/100*20</f>
        <v>470</v>
      </c>
      <c r="M146" s="10"/>
      <c r="N146" s="10"/>
      <c r="O146" s="10"/>
      <c r="P146" s="89">
        <f>71.54-D146</f>
        <v>3.4599999999999937</v>
      </c>
      <c r="R146" s="11">
        <f>SUM(R141:R145)</f>
        <v>29.652999999999999</v>
      </c>
    </row>
    <row r="147" spans="1:28" ht="18" customHeight="1">
      <c r="A147" s="111" t="s">
        <v>11</v>
      </c>
      <c r="B147" s="112"/>
      <c r="C147" s="55"/>
      <c r="D147" s="37"/>
      <c r="E147" s="18"/>
      <c r="F147" s="18"/>
      <c r="G147" s="18"/>
      <c r="H147" s="18"/>
      <c r="I147" s="10">
        <f>E146-I146</f>
        <v>0.97000000000000064</v>
      </c>
      <c r="J147" s="18"/>
      <c r="K147" s="18"/>
      <c r="L147" s="18"/>
      <c r="M147" s="18"/>
      <c r="N147" s="18"/>
      <c r="O147" s="18"/>
    </row>
    <row r="148" spans="1:28" ht="18" customHeight="1">
      <c r="A148" s="46">
        <v>58</v>
      </c>
      <c r="B148" s="26" t="s">
        <v>48</v>
      </c>
      <c r="C148" s="57">
        <v>200</v>
      </c>
      <c r="D148" s="42">
        <f>15/220*200</f>
        <v>13.636363636363635</v>
      </c>
      <c r="E148" s="14">
        <f>2+4.58</f>
        <v>6.58</v>
      </c>
      <c r="F148" s="14">
        <f>9.4-2.2</f>
        <v>7.2</v>
      </c>
      <c r="G148" s="14">
        <f>17.8+12</f>
        <v>29.8</v>
      </c>
      <c r="H148" s="14">
        <v>210.32</v>
      </c>
      <c r="I148" s="92">
        <f>E148*4</f>
        <v>26.32</v>
      </c>
      <c r="J148" s="92">
        <f>F148*9</f>
        <v>64.8</v>
      </c>
      <c r="K148" s="92">
        <f>G148*4</f>
        <v>119.2</v>
      </c>
      <c r="L148" s="92">
        <f>SUM(I148:K148)</f>
        <v>210.32</v>
      </c>
      <c r="M148" s="93"/>
      <c r="N148" s="93"/>
      <c r="O148" s="93"/>
      <c r="R148" s="11">
        <v>8.36</v>
      </c>
    </row>
    <row r="149" spans="1:28" ht="18" customHeight="1">
      <c r="A149" s="65">
        <v>110</v>
      </c>
      <c r="B149" s="66" t="s">
        <v>41</v>
      </c>
      <c r="C149" s="62">
        <v>90</v>
      </c>
      <c r="D149" s="39">
        <v>30</v>
      </c>
      <c r="E149" s="32">
        <v>7.6666666666666679</v>
      </c>
      <c r="F149" s="32">
        <v>11.222222222222221</v>
      </c>
      <c r="G149" s="32">
        <v>9.6666666666666661</v>
      </c>
      <c r="H149" s="32">
        <v>170.33333333333334</v>
      </c>
      <c r="I149" s="92">
        <f>E149*4</f>
        <v>30.666666666666671</v>
      </c>
      <c r="J149" s="92">
        <f>F149*9</f>
        <v>101</v>
      </c>
      <c r="K149" s="92">
        <f>G149*4</f>
        <v>38.666666666666664</v>
      </c>
      <c r="L149" s="92">
        <f>SUM(I149:K149)</f>
        <v>170.33333333333334</v>
      </c>
      <c r="M149" s="103"/>
      <c r="N149" s="103"/>
      <c r="O149" s="103"/>
      <c r="R149" s="11">
        <v>9.8000000000000007</v>
      </c>
    </row>
    <row r="150" spans="1:28" ht="18" customHeight="1">
      <c r="A150" s="46">
        <v>147</v>
      </c>
      <c r="B150" s="28" t="s">
        <v>63</v>
      </c>
      <c r="C150" s="52">
        <v>130</v>
      </c>
      <c r="D150" s="42">
        <f>14-1.1</f>
        <v>12.9</v>
      </c>
      <c r="E150" s="17">
        <v>2.9166666666666665</v>
      </c>
      <c r="F150" s="17">
        <v>4.5</v>
      </c>
      <c r="G150" s="17">
        <v>25.833333333333332</v>
      </c>
      <c r="H150" s="17">
        <v>155.5</v>
      </c>
      <c r="I150" s="92">
        <v>11.666666666666666</v>
      </c>
      <c r="J150" s="92">
        <v>40.5</v>
      </c>
      <c r="K150" s="92">
        <v>103.33333333333333</v>
      </c>
      <c r="L150" s="92">
        <v>155.5</v>
      </c>
      <c r="M150" s="92">
        <v>0</v>
      </c>
      <c r="N150" s="92">
        <v>0</v>
      </c>
      <c r="O150" s="92">
        <v>0</v>
      </c>
      <c r="P150" s="11">
        <v>0</v>
      </c>
      <c r="Q150" s="11">
        <v>0</v>
      </c>
      <c r="R150" s="11">
        <v>5.85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11">
        <v>0</v>
      </c>
    </row>
    <row r="151" spans="1:28" ht="18" customHeight="1">
      <c r="A151" s="46">
        <v>310</v>
      </c>
      <c r="B151" s="4" t="s">
        <v>34</v>
      </c>
      <c r="C151" s="52">
        <v>200</v>
      </c>
      <c r="D151" s="21">
        <v>8</v>
      </c>
      <c r="E151" s="22">
        <v>0.5</v>
      </c>
      <c r="F151" s="22">
        <v>0.1</v>
      </c>
      <c r="G151" s="22">
        <v>23.9</v>
      </c>
      <c r="H151" s="22">
        <v>98.5</v>
      </c>
      <c r="I151" s="92">
        <f>E151*4</f>
        <v>2</v>
      </c>
      <c r="J151" s="92">
        <f>F151*9</f>
        <v>0.9</v>
      </c>
      <c r="K151" s="92">
        <f>G151*4</f>
        <v>95.6</v>
      </c>
      <c r="L151" s="92">
        <f>SUM(I151:K151)</f>
        <v>98.5</v>
      </c>
      <c r="M151" s="95"/>
      <c r="N151" s="95"/>
      <c r="O151" s="95"/>
      <c r="R151" s="11">
        <v>3</v>
      </c>
    </row>
    <row r="152" spans="1:28" ht="15.75">
      <c r="A152" s="49" t="s">
        <v>44</v>
      </c>
      <c r="B152" s="4" t="s">
        <v>5</v>
      </c>
      <c r="C152" s="52">
        <v>30</v>
      </c>
      <c r="D152" s="42">
        <v>3.54</v>
      </c>
      <c r="E152" s="2">
        <f>6.6/100*30</f>
        <v>1.98</v>
      </c>
      <c r="F152" s="53">
        <f>1.2/100*30</f>
        <v>0.36</v>
      </c>
      <c r="G152" s="2">
        <f>33.4/100*30</f>
        <v>10.02</v>
      </c>
      <c r="H152" s="2">
        <v>51.24</v>
      </c>
      <c r="I152" s="92">
        <f>E152*4</f>
        <v>7.92</v>
      </c>
      <c r="J152" s="92">
        <f>F152*9</f>
        <v>3.2399999999999998</v>
      </c>
      <c r="K152" s="92">
        <f>G152*4</f>
        <v>40.08</v>
      </c>
      <c r="L152" s="92">
        <f>SUM(I152:K152)</f>
        <v>51.239999999999995</v>
      </c>
      <c r="M152" s="85"/>
      <c r="N152" s="85"/>
      <c r="O152" s="85"/>
      <c r="R152" s="11">
        <v>1.57</v>
      </c>
    </row>
    <row r="153" spans="1:28" ht="15.75">
      <c r="A153" s="48"/>
      <c r="B153" s="9" t="s">
        <v>22</v>
      </c>
      <c r="C153" s="51">
        <f t="shared" ref="C153:H153" si="28">SUM(C148:C152)</f>
        <v>650</v>
      </c>
      <c r="D153" s="36">
        <f t="shared" si="28"/>
        <v>68.076363636363638</v>
      </c>
      <c r="E153" s="5">
        <f t="shared" si="28"/>
        <v>19.643333333333334</v>
      </c>
      <c r="F153" s="5">
        <f t="shared" si="28"/>
        <v>23.382222222222222</v>
      </c>
      <c r="G153" s="5">
        <f t="shared" si="28"/>
        <v>99.219999999999985</v>
      </c>
      <c r="H153" s="5">
        <f t="shared" si="28"/>
        <v>685.89333333333332</v>
      </c>
      <c r="I153" s="37">
        <f>77/100*30</f>
        <v>23.1</v>
      </c>
      <c r="J153" s="37">
        <f>79/100*30</f>
        <v>23.700000000000003</v>
      </c>
      <c r="K153" s="37">
        <f>335/100*30</f>
        <v>100.5</v>
      </c>
      <c r="L153" s="37">
        <f>2350/100*30</f>
        <v>705</v>
      </c>
      <c r="M153" s="10"/>
      <c r="N153" s="10"/>
      <c r="O153" s="10"/>
      <c r="P153" s="11">
        <v>71.540000000000006</v>
      </c>
      <c r="Q153" s="89">
        <f>P153-D153</f>
        <v>3.4636363636363683</v>
      </c>
      <c r="R153" s="11">
        <f>SUM(R148:R152)</f>
        <v>28.58</v>
      </c>
    </row>
    <row r="154" spans="1:28" ht="15.75">
      <c r="A154" s="48"/>
      <c r="B154" s="12" t="s">
        <v>9</v>
      </c>
      <c r="C154" s="51"/>
      <c r="D154" s="36"/>
      <c r="E154" s="6">
        <f>E146+E153</f>
        <v>36.013333333333335</v>
      </c>
      <c r="F154" s="6">
        <f>F146+F153</f>
        <v>43.782222222222224</v>
      </c>
      <c r="G154" s="6">
        <f>G146+G153</f>
        <v>155.10999999999999</v>
      </c>
      <c r="H154" s="6">
        <f>H146+H153</f>
        <v>1158.5333333333333</v>
      </c>
      <c r="I154" s="37">
        <f>77/100*30</f>
        <v>23.1</v>
      </c>
      <c r="J154" s="37">
        <f>79/100*30</f>
        <v>23.700000000000003</v>
      </c>
      <c r="K154" s="37">
        <f>335/100*30</f>
        <v>100.5</v>
      </c>
      <c r="L154" s="37">
        <f>2350/100*30</f>
        <v>705</v>
      </c>
      <c r="M154" s="97"/>
      <c r="N154" s="97"/>
      <c r="O154" s="97"/>
    </row>
    <row r="155" spans="1:28" ht="15.75">
      <c r="A155" s="70"/>
      <c r="B155" s="114" t="s">
        <v>53</v>
      </c>
      <c r="C155" s="114"/>
      <c r="D155" s="6"/>
      <c r="E155" s="6">
        <f>E21+E37+E51+E65+E80+E93+E108+E123+E138+E154</f>
        <v>380.78717840801175</v>
      </c>
      <c r="F155" s="6">
        <f>F21+F37+F51+F65+F80+F93+F108+F123+F138+F154</f>
        <v>396.01530389363722</v>
      </c>
      <c r="G155" s="6">
        <f>G21+G37+G51+G65+G80+G93+G108+G123+G138+G154</f>
        <v>1661.2691476733141</v>
      </c>
      <c r="H155" s="6">
        <f>H21+H37+H51+H65+H80+H93+H108+H123+H138+H154</f>
        <v>11725.521111111109</v>
      </c>
      <c r="I155" s="97"/>
      <c r="J155" s="97"/>
      <c r="K155" s="97"/>
      <c r="L155" s="97"/>
      <c r="M155" s="97"/>
      <c r="N155" s="97"/>
      <c r="O155" s="97"/>
    </row>
    <row r="156" spans="1:28" ht="15.75">
      <c r="A156" s="70"/>
      <c r="B156" s="115" t="s">
        <v>54</v>
      </c>
      <c r="C156" s="115"/>
      <c r="D156" s="71"/>
      <c r="E156" s="6">
        <f>E155/10</f>
        <v>38.078717840801175</v>
      </c>
      <c r="F156" s="6">
        <f>F155/10</f>
        <v>39.601530389363724</v>
      </c>
      <c r="G156" s="6">
        <f>G155/10</f>
        <v>166.12691476733141</v>
      </c>
      <c r="H156" s="6">
        <f>H155/10</f>
        <v>1172.5521111111109</v>
      </c>
      <c r="I156" s="97"/>
      <c r="J156" s="97"/>
      <c r="K156" s="97"/>
      <c r="L156" s="97"/>
      <c r="M156" s="97"/>
      <c r="N156" s="97"/>
      <c r="O156" s="97"/>
    </row>
  </sheetData>
  <mergeCells count="42">
    <mergeCell ref="A131:B131"/>
    <mergeCell ref="A139:B139"/>
    <mergeCell ref="A140:B140"/>
    <mergeCell ref="A147:B147"/>
    <mergeCell ref="B155:C155"/>
    <mergeCell ref="B156:C156"/>
    <mergeCell ref="A101:B101"/>
    <mergeCell ref="A109:B109"/>
    <mergeCell ref="A110:B110"/>
    <mergeCell ref="A116:B116"/>
    <mergeCell ref="A124:B124"/>
    <mergeCell ref="A125:B125"/>
    <mergeCell ref="A73:B73"/>
    <mergeCell ref="A81:B81"/>
    <mergeCell ref="A82:B82"/>
    <mergeCell ref="A87:B87"/>
    <mergeCell ref="A94:B94"/>
    <mergeCell ref="A95:B95"/>
    <mergeCell ref="A44:B44"/>
    <mergeCell ref="A52:B52"/>
    <mergeCell ref="A53:B53"/>
    <mergeCell ref="A59:B59"/>
    <mergeCell ref="A66:B66"/>
    <mergeCell ref="A67:B67"/>
    <mergeCell ref="A14:B14"/>
    <mergeCell ref="A23:B23"/>
    <mergeCell ref="A24:B24"/>
    <mergeCell ref="A30:B30"/>
    <mergeCell ref="A38:B38"/>
    <mergeCell ref="A39:B39"/>
    <mergeCell ref="H3:H7"/>
    <mergeCell ref="E5:E7"/>
    <mergeCell ref="F5:F7"/>
    <mergeCell ref="G5:G7"/>
    <mergeCell ref="A8:B8"/>
    <mergeCell ref="A9:B9"/>
    <mergeCell ref="B1:G2"/>
    <mergeCell ref="A3:A7"/>
    <mergeCell ref="B3:B7"/>
    <mergeCell ref="C3:C7"/>
    <mergeCell ref="D3:D7"/>
    <mergeCell ref="E3:G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rowBreaks count="9" manualBreakCount="9">
    <brk id="22" max="16383" man="1"/>
    <brk id="37" max="16383" man="1"/>
    <brk id="51" max="16383" man="1"/>
    <brk id="65" max="16383" man="1"/>
    <brk id="80" max="16383" man="1"/>
    <brk id="93" max="16383" man="1"/>
    <brk id="108" max="16383" man="1"/>
    <brk id="123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 1 по 4</vt:lpstr>
      <vt:lpstr>68,08</vt:lpstr>
      <vt:lpstr>'68,08'!Заголовки_для_печати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sh5</cp:lastModifiedBy>
  <cp:lastPrinted>2023-08-31T07:33:08Z</cp:lastPrinted>
  <dcterms:created xsi:type="dcterms:W3CDTF">2017-07-26T06:10:42Z</dcterms:created>
  <dcterms:modified xsi:type="dcterms:W3CDTF">2023-09-26T07:35:44Z</dcterms:modified>
</cp:coreProperties>
</file>